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4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<sst xmlns="http://schemas.openxmlformats.org/spreadsheetml/2006/main" count="1754" uniqueCount="1150">
  <si>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</si>
  <si>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</si>
  <si>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</si>
  <si>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</si>
  <si>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</si>
  <si>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</si>
  <si>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</si>
  <si>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</si>
  <si>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</si>
  <si>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</si>
  <si>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</si>
  <si>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</si>
  <si>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</si>
  <si>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</si>
  <si>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</si>
  <si>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</si>
  <si>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</si>
  <si>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</si>
  <si>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</si>
  <si>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</si>
  <si>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</si>
  <si>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</si>
  <si>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</si>
  <si>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</si>
  <si>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</si>
  <si>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</si>
  <si>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</si>
  <si>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</si>
  <si>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</si>
  <si>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</si>
  <si>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</si>
  <si>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</si>
  <si>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</si>
  <si>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</si>
  <si>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</si>
  <si>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</si>
  <si>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</si>
  <si>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</si>
  <si>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</si>
  <si>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</si>
  <si>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</si>
  <si>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</si>
  <si>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</si>
  <si>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</si>
  <si>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</si>
  <si>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</si>
  <si>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</si>
  <si>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</si>
  <si>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</si>
  <si>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</si>
  <si>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</si>
  <si>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</si>
  <si>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</si>
  <si>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</si>
  <si>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</si>
  <si>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</si>
  <si>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</si>
  <si>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</si>
  <si>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</si>
  <si>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</si>
  <si>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</si>
  <si>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</si>
  <si>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</si>
  <si>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</si>
  <si>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</si>
  <si>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</si>
  <si>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</si>
  <si>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</si>
  <si>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</si>
  <si>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</si>
  <si>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</si>
  <si>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</si>
  <si>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</si>
  <si>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</si>
  <si>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</si>
  <si>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</si>
  <si>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</si>
  <si>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</si>
  <si>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</si>
  <si>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</si>
  <si>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</si>
  <si>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</si>
  <si>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</si>
  <si>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</si>
  <si>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</si>
  <si>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</si>
  <si>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</si>
  <si>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</si>
  <si>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</si>
  <si>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</si>
  <si>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</si>
  <si>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</si>
  <si>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</si>
  <si>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</si>
  <si>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</si>
  <si>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</si>
  <si>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</si>
  <si>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</si>
  <si>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</si>
  <si>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</si>
  <si>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</si>
  <si>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</si>
  <si>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</si>
  <si>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</si>
  <si>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</si>
  <si>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</si>
  <si>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</si>
  <si>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</si>
  <si>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</si>
  <si>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</si>
  <si>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</si>
  <si>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</si>
  <si>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</si>
  <si>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</si>
  <si>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</si>
  <si>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</si>
  <si>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</si>
  <si>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</si>
  <si>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</si>
  <si>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</si>
  <si>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</si>
  <si>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</si>
  <si>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</si>
  <si>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</si>
  <si>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</si>
  <si>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</si>
  <si>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</si>
  <si>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</si>
  <si>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</si>
  <si>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</si>
  <si>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</si>
  <si>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</si>
  <si>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</si>
  <si>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</si>
  <si>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</si>
  <si>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</si>
  <si>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</si>
  <si>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</si>
  <si>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</si>
  <si>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</si>
  <si>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</si>
  <si>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</si>
  <si>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</si>
  <si>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</si>
  <si>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</si>
  <si>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</si>
  <si>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</si>
  <si>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</si>
  <si>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</si>
  <si>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</si>
  <si>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</si>
  <si>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</si>
  <si>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</si>
  <si>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</si>
  <si>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</si>
  <si>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</si>
  <si>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</si>
  <si>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</si>
  <si>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</si>
  <si>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</si>
  <si>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</si>
  <si>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</si>
  <si>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</si>
  <si>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</si>
  <si>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</si>
  <si>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</si>
  <si>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</si>
  <si>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</si>
  <si>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</si>
  <si>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</si>
  <si>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</si>
  <si>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</si>
  <si>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</si>
  <si>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</si>
  <si>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</si>
  <si>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</si>
  <si>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</si>
  <si>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</si>
  <si>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</si>
  <si>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</si>
  <si>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</si>
  <si>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</si>
  <si>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</si>
  <si>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</si>
  <si>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</si>
  <si>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</si>
  <si>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</si>
  <si>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</si>
  <si>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</si>
  <si>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</si>
  <si>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</si>
  <si>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</si>
  <si>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</si>
  <si>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</si>
  <si>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</si>
  <si>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</si>
  <si>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</si>
  <si>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</si>
  <si>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</si>
  <si>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</si>
  <si>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</si>
  <si>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</si>
  <si>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</si>
  <si>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</si>
  <si>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</si>
  <si>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</si>
  <si>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</si>
  <si>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</si>
  <si>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</si>
  <si>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</si>
  <si>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</si>
  <si>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</si>
  <si>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</si>
  <si>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</si>
  <si>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</si>
  <si>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</si>
  <si>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</si>
  <si>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</si>
  <si>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</si>
  <si>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</si>
  <si>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</si>
  <si>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</si>
  <si>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</si>
  <si>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</si>
  <si>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</si>
  <si>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</si>
  <si>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</si>
  <si>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</si>
  <si>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</si>
  <si>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</si>
  <si>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</si>
  <si>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</si>
  <si>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</si>
  <si>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</si>
  <si>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</si>
  <si>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</si>
  <si>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</si>
  <si>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</si>
  <si>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</si>
  <si>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</si>
  <si>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</si>
  <si>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</si>
  <si>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</si>
  <si>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</si>
  <si>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</si>
  <si>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</si>
  <si>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</si>
  <si>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</si>
  <si>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</si>
  <si>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</si>
  <si>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</si>
  <si>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</si>
  <si>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</si>
  <si>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</si>
  <si>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</si>
  <si>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</si>
  <si>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</si>
  <si>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</si>
  <si>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</si>
  <si>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</si>
  <si>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</si>
  <si>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</si>
  <si>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</si>
  <si>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</si>
  <si>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</si>
  <si>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</si>
  <si>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</si>
  <si>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</si>
  <si>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</si>
  <si>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</si>
  <si>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</si>
  <si>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</si>
  <si>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</si>
  <si>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</si>
  <si>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</si>
  <si>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</si>
  <si>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</si>
  <si>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</si>
  <si>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</si>
  <si>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</si>
  <si>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</si>
  <si>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</si>
  <si>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</si>
  <si>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</si>
  <si>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</si>
  <si>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</si>
  <si>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</si>
  <si>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</si>
  <si>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</si>
  <si>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</si>
  <si>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</si>
  <si>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</si>
  <si>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</si>
  <si>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</si>
  <si>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</si>
  <si>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</si>
  <si>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</si>
  <si>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</si>
  <si>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</si>
  <si>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</si>
  <si>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</si>
  <si>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</si>
  <si>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</si>
  <si>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</si>
  <si>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</si>
  <si>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</si>
  <si>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</si>
  <si>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</si>
  <si>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</si>
  <si>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</si>
  <si>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</si>
  <si>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</si>
  <si>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</si>
  <si>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</si>
  <si>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</si>
  <si>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</si>
  <si>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</si>
  <si>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</si>
  <si>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</si>
  <si>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</si>
  <si>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</si>
  <si>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</si>
  <si>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</si>
  <si>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</si>
  <si>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</si>
  <si>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</si>
  <si>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</si>
  <si>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</si>
  <si>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</si>
  <si>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</si>
  <si>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</si>
  <si>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</si>
  <si>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</si>
  <si>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</si>
  <si>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</si>
  <si>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</si>
  <si>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</si>
  <si>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</si>
  <si>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</si>
  <si>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</si>
  <si>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</si>
  <si>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</si>
  <si>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</si>
  <si>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</si>
  <si>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</si>
  <si>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</si>
  <si>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</si>
  <si>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</si>
  <si>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</si>
  <si>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</si>
  <si>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</si>
  <si>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</si>
  <si>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</si>
  <si>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</si>
  <si>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</si>
  <si>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</si>
  <si>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</si>
  <si>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</si>
  <si>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</si>
  <si>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</si>
  <si>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</si>
  <si>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</si>
  <si>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</si>
  <si>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</si>
  <si>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</si>
  <si>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</si>
  <si>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</si>
  <si>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</si>
  <si>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</si>
  <si>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</si>
  <si>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</si>
  <si>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</si>
  <si>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</si>
  <si>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</si>
  <si>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</si>
  <si>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</si>
  <si>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</si>
  <si>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</si>
  <si>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</si>
  <si>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</si>
  <si>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</si>
  <si>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</si>
  <si>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</si>
  <si>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</si>
  <si>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</si>
  <si>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</si>
  <si>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</si>
  <si>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</si>
  <si>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</si>
  <si>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</si>
  <si>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</si>
  <si>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</si>
  <si>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</si>
  <si>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</si>
  <si>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</si>
  <si>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</si>
  <si>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</si>
  <si>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</si>
  <si>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</si>
  <si>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</si>
  <si>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</si>
  <si>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</si>
  <si>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</si>
  <si>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</si>
  <si>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</si>
  <si>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</si>
  <si>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</si>
  <si>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</si>
  <si>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</si>
  <si>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</si>
  <si>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</si>
  <si>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</si>
  <si>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</si>
  <si>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</si>
  <si>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</si>
  <si>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</si>
  <si>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</si>
  <si>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</si>
  <si>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</si>
  <si>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</si>
  <si>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</si>
  <si>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</si>
  <si>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</si>
  <si>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</si>
  <si>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</si>
  <si>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</si>
  <si>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</si>
  <si>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</si>
  <si>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</si>
  <si>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</si>
  <si>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</si>
  <si>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</si>
  <si>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</si>
  <si>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</si>
  <si>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</si>
  <si>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</si>
  <si>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</si>
  <si>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</si>
  <si>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</si>
  <si>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</si>
  <si>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</si>
  <si>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</si>
  <si>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</si>
  <si>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</si>
  <si>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</si>
  <si>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</si>
  <si>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</si>
  <si>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</si>
  <si>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</si>
  <si>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</si>
  <si>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</si>
  <si>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</si>
  <si>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</si>
  <si>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</si>
  <si>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</si>
  <si>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</si>
  <si>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</si>
  <si>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</si>
  <si>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</si>
  <si>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</si>
  <si>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</si>
  <si>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</si>
  <si>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</si>
  <si>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</si>
  <si>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</si>
  <si>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</si>
  <si>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</si>
  <si>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</si>
  <si>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</si>
  <si>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</si>
  <si>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</si>
  <si>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</si>
  <si>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</si>
  <si>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</si>
  <si>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</si>
  <si>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</si>
  <si>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</si>
  <si>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</si>
  <si>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</si>
  <si>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</si>
  <si>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</si>
  <si>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</si>
  <si>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</si>
  <si>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</si>
  <si>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</si>
  <si>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</si>
  <si>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</si>
  <si>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</si>
  <si>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</si>
  <si>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</si>
  <si>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</si>
  <si>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</si>
  <si>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</si>
  <si>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</si>
  <si>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</si>
  <si>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</si>
  <si>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</si>
  <si>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</si>
  <si>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</si>
  <si>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</si>
  <si>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</si>
  <si>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</si>
  <si>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</si>
  <si>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</si>
  <si>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</si>
  <si>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</si>
  <si>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</si>
  <si>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</si>
  <si>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</si>
  <si>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</si>
  <si>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</si>
  <si>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</si>
  <si>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</si>
  <si>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</si>
  <si>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</si>
  <si>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</si>
  <si>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</si>
  <si>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</si>
  <si>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</si>
  <si>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</si>
  <si>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</si>
  <si>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</si>
  <si>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</si>
  <si>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</si>
  <si>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</si>
  <si>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</si>
  <si>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</si>
  <si>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</si>
  <si>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</si>
  <si>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</si>
  <si>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</si>
  <si>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</si>
  <si>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</si>
  <si>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</si>
  <si>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</si>
  <si>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</si>
  <si>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</si>
  <si>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</si>
  <si>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</si>
  <si>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</si>
  <si>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</si>
  <si>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</si>
  <si>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</si>
  <si>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</si>
  <si>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</si>
  <si>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</si>
  <si>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</si>
  <si>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</si>
  <si>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</si>
  <si>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</si>
  <si>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</si>
  <si>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</si>
  <si>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</si>
  <si>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</si>
  <si>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</si>
  <si>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</si>
  <si>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</si>
  <si>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</si>
  <si>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</si>
  <si>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</si>
  <si>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</si>
  <si>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</si>
  <si>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</si>
  <si>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</si>
  <si>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</si>
  <si>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</si>
  <si>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</si>
  <si>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</si>
  <si>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</si>
  <si>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</si>
  <si>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</si>
  <si>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</si>
  <si>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</si>
  <si>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</si>
  <si>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</si>
  <si>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</si>
  <si>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</si>
  <si>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</si>
  <si>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</si>
  <si>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</si>
  <si>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</si>
  <si>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</si>
  <si>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</si>
  <si>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</si>
  <si>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</si>
  <si>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</si>
  <si>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</si>
  <si>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</si>
  <si>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</si>
  <si>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</si>
  <si>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</si>
  <si>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</si>
  <si>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</si>
  <si>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</si>
  <si>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</si>
  <si>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</si>
  <si>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</si>
  <si>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</si>
  <si>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</si>
  <si>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</si>
  <si>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</si>
  <si>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</si>
  <si>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</si>
  <si>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</si>
  <si>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</si>
  <si>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</si>
  <si>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</si>
  <si>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</si>
  <si>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</si>
  <si>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</si>
  <si>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</si>
  <si>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</si>
  <si>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</si>
  <si>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</si>
  <si>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</si>
  <si>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</si>
  <si>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</si>
  <si>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</si>
  <si>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</si>
  <si>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</si>
  <si>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</si>
  <si>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</si>
  <si>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</si>
  <si>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</si>
  <si>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</si>
  <si>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</si>
  <si>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</si>
  <si>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</si>
  <si>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</si>
  <si>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</si>
  <si>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</si>
  <si>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</si>
  <si>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</si>
  <si>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</si>
  <si>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</si>
  <si>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</si>
  <si>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</si>
  <si>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</si>
  <si>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</si>
  <si>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</si>
  <si>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</si>
  <si>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</si>
  <si>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</si>
  <si>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</si>
  <si>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</si>
  <si>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</si>
  <si>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</si>
  <si>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</si>
  <si>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</si>
  <si>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</si>
  <si>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</si>
  <si>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</si>
  <si>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</si>
  <si>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</si>
  <si>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</si>
  <si>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</si>
  <si>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</si>
  <si>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</si>
  <si>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</si>
  <si>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</si>
  <si>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</si>
  <si>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</si>
  <si>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</si>
  <si>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</si>
  <si>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</si>
  <si>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</si>
  <si>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</si>
  <si>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</si>
  <si>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</si>
  <si>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</si>
  <si>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</si>
  <si>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</si>
  <si>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</si>
  <si>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</si>
  <si>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</si>
  <si>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</si>
  <si>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</si>
  <si>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</si>
  <si>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</si>
  <si>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</si>
  <si>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</si>
  <si>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</si>
  <si>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</si>
  <si>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</si>
  <si>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</si>
  <si>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</si>
  <si>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</si>
  <si>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</si>
  <si>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</si>
  <si>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</si>
  <si>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</si>
  <si>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</si>
  <si>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</si>
  <si>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</si>
  <si>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</si>
  <si>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</si>
  <si>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</si>
  <si>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</si>
  <si>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</si>
  <si>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</si>
  <si>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</si>
  <si>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</si>
  <si>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</si>
  <si>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</si>
  <si>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</si>
  <si>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</si>
  <si>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</si>
  <si>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</si>
  <si>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</si>
  <si>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</si>
  <si>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</si>
  <si>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</si>
  <si>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</si>
  <si>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</si>
  <si>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</si>
  <si>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</si>
  <si>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</si>
  <si>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</si>
  <si>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</si>
  <si>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</si>
  <si>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</si>
  <si>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</si>
  <si>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</si>
  <si>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</si>
  <si>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</si>
  <si>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</si>
  <si>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</si>
  <si>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</si>
  <si>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</si>
  <si>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</si>
  <si>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</si>
  <si>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</si>
  <si>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</si>
  <si>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</si>
  <si>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</si>
  <si>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</si>
  <si>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</si>
  <si>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</si>
  <si>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</si>
  <si>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</si>
  <si>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</si>
  <si>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</si>
  <si>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</si>
  <si>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</si>
  <si>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</si>
  <si>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</si>
  <si>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</si>
  <si>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</si>
  <si>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</si>
  <si>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</si>
  <si>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</si>
  <si>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</si>
  <si>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</si>
  <si>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</si>
  <si>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</si>
  <si>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</si>
  <si>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</si>
  <si>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</si>
  <si>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</si>
  <si>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</si>
  <si>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</si>
  <si>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</si>
  <si>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</si>
  <si>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</si>
  <si>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</si>
  <si>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</si>
  <si>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</si>
  <si>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</si>
  <si>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</si>
  <si>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</si>
  <si>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</si>
  <si>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</si>
  <si>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</si>
  <si>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</si>
  <si>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</si>
  <si>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</si>
  <si>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</si>
  <si>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</si>
  <si>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</si>
  <si>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</si>
  <si>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</si>
  <si>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</si>
  <si>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</si>
  <si>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</si>
  <si>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</si>
  <si>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</si>
  <si>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</si>
  <si>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</si>
  <si>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</si>
  <si>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</si>
  <si>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</si>
  <si>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</si>
  <si>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</si>
  <si>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</si>
  <si>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</si>
  <si>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</si>
  <si>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</si>
  <si>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</si>
  <si>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</si>
  <si>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</si>
  <si>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</si>
  <si>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</si>
  <si>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</si>
  <si>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</si>
  <si>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</si>
  <si>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</si>
  <si>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</si>
  <si>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</si>
  <si>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</si>
  <si>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</si>
  <si>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</si>
  <si>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</si>
  <si>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</si>
  <si>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</si>
  <si>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</si>
  <si>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</si>
  <si>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</si>
  <si>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</si>
  <si>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</si>
  <si>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</si>
  <si>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</si>
  <si>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</si>
  <si>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</si>
  <si>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</si>
  <si>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</si>
  <si>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</si>
  <si>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</si>
  <si>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</si>
  <si>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</si>
  <si>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</si>
  <si>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</si>
  <si>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</si>
  <si>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</si>
  <si>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</si>
  <si>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</si>
  <si>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</si>
  <si>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</si>
  <si>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</si>
  <si>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</si>
  <si>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</si>
  <si>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</si>
  <si>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</si>
  <si>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</si>
  <si>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</si>
  <si>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</si>
  <si>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</si>
  <si>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</si>
  <si>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</si>
  <si>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</si>
  <si>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</si>
  <si>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</si>
  <si>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</si>
  <si>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</si>
  <si>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</si>
  <si>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</si>
  <si>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</si>
  <si>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</si>
  <si>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</si>
  <si>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</si>
  <si>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</si>
  <si>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</si>
  <si>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</si>
  <si>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</si>
  <si>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</si>
  <si>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</si>
  <si>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</si>
  <si>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</si>
  <si>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</si>
  <si>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</si>
  <si>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</si>
  <si>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</si>
  <si>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</si>
  <si>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</si>
  <si>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</si>
  <si>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</si>
  <si>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</si>
  <si>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</si>
  <si>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</si>
  <si>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</si>
  <si>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</si>
  <si>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</si>
  <si>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</si>
  <si>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</si>
  <si>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</si>
  <si>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</si>
  <si>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</si>
  <si>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</si>
  <si>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</si>
  <si>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</si>
  <si>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</si>
  <si>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</si>
  <si>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</si>
  <si>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</si>
  <si>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</si>
  <si>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</si>
  <si>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</si>
  <si>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</si>
  <si>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</si>
  <si>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</si>
  <si>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</si>
  <si>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</si>
  <si>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</si>
  <si>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</si>
  <si>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</si>
  <si>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</si>
  <si>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</si>
  <si>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</si>
  <si>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</si>
  <si>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</si>
  <si>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</si>
  <si>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</si>
  <si>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</si>
  <si>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</si>
  <si>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</si>
  <si>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</si>
  <si>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</si>
  <si>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</si>
  <si>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</si>
  <si>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</si>
  <si>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</si>
  <si>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</si>
  <si>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</si>
  <si>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</si>
  <si>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</si>
  <si>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</si>
  <si>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</si>
  <si>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</si>
  <si>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</si>
  <si>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</si>
  <si>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</si>
  <si>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</si>
  <si>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</si>
  <si>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</si>
  <si>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</si>
  <si>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</si>
  <si>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</si>
  <si>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</si>
  <si>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</si>
  <si>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</si>
  <si>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</si>
  <si>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</si>
  <si>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</si>
  <si>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</si>
  <si>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</si>
  <si>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</si>
  <si>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</si>
  <si>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</si>
  <si>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</si>
  <si>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</si>
  <si>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</si>
  <si>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</si>
  <si>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</si>
  <si>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</si>
  <si>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</si>
  <si>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</si>
  <si>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</si>
  <si>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</si>
  <si>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</si>
  <si>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</si>
  <si>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</si>
  <si>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</si>
  <si>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</si>
  <si>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</si>
  <si>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</si>
  <si>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</si>
  <si>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</si>
  <si>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</si>
  <si>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</si>
  <si>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</si>
  <si>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</si>
  <si>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</si>
  <si>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</si>
  <si>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</si>
  <si>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</si>
  <si>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</si>
  <si>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</si>
  <si>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</si>
  <si>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</si>
  <si>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</si>
  <si>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</si>
  <si>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</si>
  <si>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</si>
  <si>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</si>
  <si>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</si>
  <si>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</si>
  <si>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</si>
  <si>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</si>
  <si>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</si>
  <si>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</si>
  <si>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</si>
  <si>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</si>
  <si>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</si>
  <si>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</si>
  <si>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</si>
  <si>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</si>
  <si>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</si>
  <si>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</si>
  <si>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</si>
  <si>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</si>
  <si>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</si>
  <si>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</si>
  <si>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</si>
  <si>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</si>
  <si>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</si>
  <si>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</si>
  <si>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</si>
  <si>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</si>
  <si>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</si>
  <si>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</si>
  <si>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</si>
  <si>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</si>
  <si>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</si>
  <si>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</si>
  <si>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</si>
  <si>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</si>
  <si>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</si>
  <si>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</si>
  <si>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</si>
  <si>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</si>
  <si>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</si>
  <si>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</si>
  <si>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</si>
  <si>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</si>
  <si>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</si>
  <si>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</si>
  <si>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</si>
  <si>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</si>
  <si>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</si>
  <si>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</si>
  <si>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</si>
  <si>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</si>
  <si>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</si>
  <si>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</si>
  <si>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</si>
  <si>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</si>
  <si>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</si>
  <si>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</si>
  <si>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</si>
  <si>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</si>
  <si>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</si>
  <si>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</si>
  <si>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</si>
  <si>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</si>
  <si>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</si>
  <si>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</si>
  <si>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</si>
  <si>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</si>
  <si>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</si>
  <si>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</si>
  <si>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</si>
  <si>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</si>
  <si>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</si>
  <si>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</si>
  <si>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</si>
  <si>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</si>
  <si>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</si>
  <si>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</si>
  <si>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</si>
  <si>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</si>
  <si>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</si>
  <si>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</si>
  <si>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</si>
  <si>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</si>
  <si>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</si>
  <si>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</si>
  <si>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</si>
  <si>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</si>
  <si>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</si>
  <si>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</si>
  <si>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</si>
  <si>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</si>
  <si>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</si>
  <si>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</si>
  <si>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</si>
  <si>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</si>
  <si>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</si>
  <si>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</si>
  <si>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</si>
  <si>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</si>
  <si>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</si>
  <si>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</si>
  <si>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</si>
  <si>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</si>
  <si>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</si>
  <si>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</si>
  <si>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</si>
  <si>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</si>
  <si>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</si>
  <si>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</si>
  <si>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</si>
  <si>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</si>
  <si>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</si>
  <si>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</si>
  <si>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</si>
  <si>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</si>
  <si>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</si>
  <si>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</si>
  <si>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</si>
  <si>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</si>
  <si>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</si>
  <si>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</si>
  <si>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</si>
  <si>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</si>
  <si>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</si>
  <si>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</si>
  <si>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</si>
  <si>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</si>
  <si>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</si>
  <si>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</si>
  <si>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</si>
  <si>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</si>
  <si>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</si>
  <si>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</si>
  <si>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</si>
  <si>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</si>
  <si>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</si>
  <si>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</si>
  <si>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</si>
  <si>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</si>
  <si>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</si>
  <si>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</si>
  <si>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</si>
  <si>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</si>
  <si>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</si>
  <si>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</si>
  <si>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</si>
  <si>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</si>
  <si>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</si>
  <si>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</si>
  <si>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</si>
  <si>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</si>
  <si>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</si>
  <si>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</si>
  <si>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</si>
  <si>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</si>
  <si>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</si>
  <si>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</si>
  <si>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</si>
  <si>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MUNICÍPIO DE SÃO FRANCISCO DO BREJÃO</t>
  </si>
  <si>
    <t>PREFEITURA MUNICIPAL DE SÃO FRANCISCO DO BREJÃO</t>
  </si>
  <si>
    <t>CNPJ Nº 01.616.680/0001-35</t>
  </si>
  <si>
    <t>ADÃO DE SOUSA CARNEIRO</t>
  </si>
  <si>
    <t>01/01/2017 A 31/12/2020</t>
  </si>
  <si>
    <t>207.353.403-15</t>
  </si>
  <si>
    <t>WEBERSON LIMA BEZERRA</t>
  </si>
  <si>
    <t>7715/MA</t>
  </si>
  <si>
    <t>MURAL PUBLICO, WWW.SAOFRANCISCODOBREJAO.MA.GOV.BR</t>
  </si>
  <si>
    <t>WWW.SAOFRANCISCODOBREJAO.MA.GOV.BR</t>
  </si>
  <si>
    <t>RUA PADRE CICERO, SN, CENTRO, CEP -65.929-000</t>
  </si>
  <si>
    <t>(99)99188-7644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</si>
</sst>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65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67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7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66" fontId="24" fillId="41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6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6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6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66" fontId="24" fillId="41" borderId="0" xfId="79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6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6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6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166" fontId="24" fillId="41" borderId="13" xfId="79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66" fontId="24" fillId="41" borderId="16" xfId="79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6" fontId="24" fillId="45" borderId="22" xfId="79" applyFont="1" applyFill="1" applyBorder="1" applyAlignment="1" applyProtection="1">
      <alignment horizontal="center"/>
      <protection/>
    </xf>
    <xf numFmtId="166" fontId="24" fillId="46" borderId="22" xfId="79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66" fontId="24" fillId="41" borderId="22" xfId="79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 locked="0"/>
    </xf>
    <xf numFmtId="166" fontId="24" fillId="41" borderId="17" xfId="79" applyFont="1" applyFill="1" applyBorder="1" applyAlignment="1" applyProtection="1">
      <alignment/>
      <protection locked="0"/>
    </xf>
    <xf numFmtId="166" fontId="24" fillId="38" borderId="17" xfId="79" applyFont="1" applyFill="1" applyBorder="1" applyAlignment="1" applyProtection="1">
      <alignment/>
      <protection/>
    </xf>
    <xf numFmtId="166" fontId="26" fillId="41" borderId="16" xfId="79" applyFont="1" applyFill="1" applyBorder="1" applyAlignment="1" applyProtection="1">
      <alignment/>
      <protection locked="0"/>
    </xf>
    <xf numFmtId="166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6" fontId="24" fillId="35" borderId="20" xfId="79" applyFont="1" applyFill="1" applyBorder="1" applyAlignment="1" applyProtection="1">
      <alignment/>
      <protection/>
    </xf>
    <xf numFmtId="166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41" borderId="25" xfId="79" applyNumberFormat="1" applyFont="1" applyFill="1" applyBorder="1" applyAlignment="1" applyProtection="1">
      <alignment/>
      <protection/>
    </xf>
    <xf numFmtId="166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66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6" fontId="24" fillId="41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6" fontId="24" fillId="41" borderId="15" xfId="79" applyFont="1" applyFill="1" applyBorder="1" applyAlignment="1" applyProtection="1">
      <alignment/>
      <protection locked="0"/>
    </xf>
    <xf numFmtId="166" fontId="24" fillId="41" borderId="18" xfId="79" applyFont="1" applyFill="1" applyBorder="1" applyAlignment="1" applyProtection="1">
      <alignment/>
      <protection locked="0"/>
    </xf>
    <xf numFmtId="166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/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6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6" fontId="24" fillId="41" borderId="13" xfId="79" applyFont="1" applyFill="1" applyBorder="1" applyAlignment="1" applyProtection="1">
      <alignment/>
      <protection locked="0"/>
    </xf>
    <xf numFmtId="166" fontId="24" fillId="0" borderId="17" xfId="79" applyFont="1" applyFill="1" applyBorder="1" applyAlignment="1" applyProtection="1">
      <alignment/>
      <protection/>
    </xf>
    <xf numFmtId="166" fontId="24" fillId="41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6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24" fillId="35" borderId="17" xfId="79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66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6" fontId="26" fillId="35" borderId="20" xfId="79" applyFont="1" applyFill="1" applyBorder="1" applyAlignment="1" applyProtection="1">
      <alignment/>
      <protection/>
    </xf>
    <xf numFmtId="166" fontId="24" fillId="41" borderId="17" xfId="79" applyNumberFormat="1" applyFont="1" applyFill="1" applyBorder="1" applyAlignment="1" applyProtection="1">
      <alignment/>
      <protection locked="0"/>
    </xf>
    <xf numFmtId="166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6" fontId="26" fillId="41" borderId="25" xfId="79" applyFont="1" applyFill="1" applyBorder="1" applyAlignment="1" applyProtection="1">
      <alignment/>
      <protection/>
    </xf>
    <xf numFmtId="168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6" fontId="24" fillId="35" borderId="16" xfId="79" applyFont="1" applyFill="1" applyBorder="1" applyAlignment="1" applyProtection="1">
      <alignment vertical="center" wrapText="1"/>
      <protection/>
    </xf>
    <xf numFmtId="166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41" borderId="16" xfId="79" applyFont="1" applyFill="1" applyBorder="1" applyAlignment="1" applyProtection="1">
      <alignment vertical="center" wrapText="1"/>
      <protection locked="0"/>
    </xf>
    <xf numFmtId="166" fontId="24" fillId="41" borderId="16" xfId="79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6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6" fontId="24" fillId="38" borderId="17" xfId="79" applyFont="1" applyFill="1" applyBorder="1" applyAlignment="1" applyProtection="1">
      <alignment vertical="center" wrapText="1"/>
      <protection/>
    </xf>
    <xf numFmtId="166" fontId="24" fillId="38" borderId="16" xfId="79" applyNumberFormat="1" applyFont="1" applyFill="1" applyBorder="1" applyAlignment="1" applyProtection="1">
      <alignment vertical="center" wrapText="1"/>
      <protection/>
    </xf>
    <xf numFmtId="166" fontId="24" fillId="41" borderId="17" xfId="79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6" fontId="24" fillId="41" borderId="22" xfId="79" applyFont="1" applyFill="1" applyBorder="1" applyAlignment="1" applyProtection="1">
      <alignment vertical="center" wrapText="1"/>
      <protection/>
    </xf>
    <xf numFmtId="166" fontId="24" fillId="41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6" fontId="24" fillId="41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79" applyFont="1" applyFill="1" applyBorder="1" applyAlignment="1" applyProtection="1">
      <alignment horizontal="center" vertical="center"/>
      <protection/>
    </xf>
    <xf numFmtId="166" fontId="24" fillId="0" borderId="0" xfId="79" applyFont="1" applyFill="1" applyBorder="1" applyAlignment="1" applyProtection="1">
      <alignment horizontal="center" vertical="center" wrapText="1"/>
      <protection/>
    </xf>
    <xf numFmtId="166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6" fontId="24" fillId="0" borderId="17" xfId="79" applyFont="1" applyFill="1" applyBorder="1" applyAlignment="1" applyProtection="1">
      <alignment vertical="center" wrapText="1"/>
      <protection/>
    </xf>
    <xf numFmtId="166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6" fontId="24" fillId="41" borderId="16" xfId="79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6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6" fontId="24" fillId="41" borderId="19" xfId="79" applyFont="1" applyFill="1" applyBorder="1" applyAlignment="1" applyProtection="1">
      <alignment vertical="center" wrapText="1"/>
      <protection locked="0"/>
    </xf>
    <xf numFmtId="166" fontId="24" fillId="41" borderId="19" xfId="79" applyFont="1" applyFill="1" applyBorder="1" applyAlignment="1" applyProtection="1">
      <alignment/>
      <protection locked="0"/>
    </xf>
    <xf numFmtId="166" fontId="24" fillId="41" borderId="18" xfId="79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9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0" fontId="26" fillId="48" borderId="18" xfId="0" applyNumberFormat="1" applyFont="1" applyFill="1" applyBorder="1" applyAlignment="1">
      <alignment/>
    </xf>
    <xf numFmtId="169" fontId="26" fillId="48" borderId="12" xfId="0" applyNumberFormat="1" applyFont="1" applyFill="1" applyBorder="1" applyAlignment="1">
      <alignment horizontal="center"/>
    </xf>
    <xf numFmtId="169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2" fontId="24" fillId="48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41" borderId="25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8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6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41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 horizontal="left" vertical="top" wrapText="1"/>
      <protection locked="0"/>
    </xf>
    <xf numFmtId="166" fontId="24" fillId="0" borderId="16" xfId="79" applyFont="1" applyFill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6" fontId="24" fillId="41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6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6" fontId="24" fillId="0" borderId="21" xfId="72" applyNumberFormat="1" applyFont="1" applyFill="1" applyBorder="1" applyAlignment="1" applyProtection="1">
      <alignment horizontal="left" vertical="top" wrapText="1"/>
      <protection/>
    </xf>
    <xf numFmtId="166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6" fontId="24" fillId="0" borderId="23" xfId="72" applyNumberFormat="1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 horizontal="left" vertical="top" wrapText="1"/>
      <protection/>
    </xf>
    <xf numFmtId="166" fontId="24" fillId="41" borderId="16" xfId="79" applyFont="1" applyFill="1" applyBorder="1" applyAlignment="1" applyProtection="1">
      <alignment horizontal="left" vertical="top" wrapText="1"/>
      <protection locked="0"/>
    </xf>
    <xf numFmtId="166" fontId="24" fillId="41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6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6" fontId="24" fillId="41" borderId="16" xfId="79" applyFont="1" applyFill="1" applyBorder="1" applyAlignment="1" applyProtection="1">
      <alignment vertical="center"/>
      <protection locked="0"/>
    </xf>
    <xf numFmtId="166" fontId="24" fillId="41" borderId="16" xfId="79" applyFont="1" applyFill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6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6" fontId="24" fillId="0" borderId="25" xfId="79" applyFont="1" applyFill="1" applyBorder="1" applyAlignment="1" applyProtection="1">
      <alignment vertical="center"/>
      <protection/>
    </xf>
    <xf numFmtId="166" fontId="24" fillId="0" borderId="11" xfId="72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24" fillId="0" borderId="16" xfId="72" applyNumberFormat="1" applyFont="1" applyFill="1" applyBorder="1" applyAlignment="1" applyProtection="1">
      <alignment/>
      <protection/>
    </xf>
    <xf numFmtId="166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/>
      <protection/>
    </xf>
    <xf numFmtId="166" fontId="0" fillId="41" borderId="17" xfId="79" applyFont="1" applyFill="1" applyBorder="1" applyAlignment="1" applyProtection="1">
      <alignment/>
      <protection locked="0"/>
    </xf>
    <xf numFmtId="166" fontId="0" fillId="41" borderId="0" xfId="79" applyFont="1" applyFill="1" applyBorder="1" applyAlignment="1" applyProtection="1">
      <alignment/>
      <protection locked="0"/>
    </xf>
    <xf numFmtId="166" fontId="0" fillId="41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2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8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66" fontId="24" fillId="0" borderId="25" xfId="79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66" fontId="24" fillId="0" borderId="20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66" fontId="24" fillId="0" borderId="17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66" fontId="24" fillId="0" borderId="17" xfId="79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66" fontId="15" fillId="0" borderId="21" xfId="79" applyFont="1" applyFill="1" applyBorder="1" applyAlignment="1" applyProtection="1">
      <alignment horizontal="center"/>
      <protection/>
    </xf>
    <xf numFmtId="166" fontId="15" fillId="41" borderId="21" xfId="79" applyFont="1" applyFill="1" applyBorder="1" applyAlignment="1" applyProtection="1">
      <alignment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0" borderId="16" xfId="79" applyFont="1" applyFill="1" applyBorder="1" applyAlignment="1" applyProtection="1">
      <alignment/>
      <protection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1" borderId="17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 horizontal="left" vertical="center" wrapText="1"/>
      <protection/>
    </xf>
    <xf numFmtId="166" fontId="15" fillId="0" borderId="17" xfId="79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/>
      <protection/>
    </xf>
    <xf numFmtId="166" fontId="15" fillId="0" borderId="17" xfId="79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6" fontId="57" fillId="0" borderId="16" xfId="79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66" fontId="57" fillId="41" borderId="16" xfId="79" applyFont="1" applyFill="1" applyBorder="1" applyAlignment="1" applyProtection="1">
      <alignment wrapText="1"/>
      <protection locked="0"/>
    </xf>
    <xf numFmtId="166" fontId="57" fillId="41" borderId="17" xfId="79" applyFont="1" applyFill="1" applyBorder="1" applyAlignment="1" applyProtection="1">
      <alignment/>
      <protection locked="0"/>
    </xf>
    <xf numFmtId="166" fontId="57" fillId="41" borderId="16" xfId="79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16" xfId="79" applyFont="1" applyFill="1" applyBorder="1" applyAlignment="1" applyProtection="1">
      <alignment horizontal="center"/>
      <protection/>
    </xf>
    <xf numFmtId="166" fontId="57" fillId="41" borderId="16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66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/>
      <protection/>
    </xf>
    <xf numFmtId="166" fontId="59" fillId="41" borderId="17" xfId="79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66" fontId="59" fillId="41" borderId="19" xfId="79" applyFont="1" applyFill="1" applyBorder="1" applyAlignment="1" applyProtection="1">
      <alignment/>
      <protection locked="0"/>
    </xf>
    <xf numFmtId="166" fontId="57" fillId="41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6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6" fontId="57" fillId="0" borderId="21" xfId="79" applyFont="1" applyFill="1" applyBorder="1" applyAlignment="1" applyProtection="1">
      <alignment/>
      <protection/>
    </xf>
    <xf numFmtId="166" fontId="57" fillId="0" borderId="23" xfId="79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left" vertical="top" wrapText="1"/>
      <protection locked="0"/>
    </xf>
    <xf numFmtId="166" fontId="57" fillId="41" borderId="13" xfId="79" applyFont="1" applyFill="1" applyBorder="1" applyAlignment="1" applyProtection="1">
      <alignment/>
      <protection locked="0"/>
    </xf>
    <xf numFmtId="166" fontId="57" fillId="0" borderId="13" xfId="79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166" fontId="57" fillId="41" borderId="13" xfId="79" applyFont="1" applyFill="1" applyBorder="1" applyAlignment="1" applyProtection="1">
      <alignment horizontal="center"/>
      <protection locked="0"/>
    </xf>
    <xf numFmtId="166" fontId="21" fillId="41" borderId="17" xfId="79" applyFont="1" applyFill="1" applyBorder="1" applyAlignment="1" applyProtection="1">
      <alignment/>
      <protection locked="0"/>
    </xf>
    <xf numFmtId="166" fontId="21" fillId="41" borderId="19" xfId="79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66" fontId="57" fillId="0" borderId="22" xfId="79" applyFont="1" applyFill="1" applyBorder="1" applyAlignment="1" applyProtection="1">
      <alignment/>
      <protection/>
    </xf>
    <xf numFmtId="166" fontId="57" fillId="0" borderId="25" xfId="79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66" fontId="57" fillId="41" borderId="21" xfId="79" applyFont="1" applyFill="1" applyBorder="1" applyAlignment="1" applyProtection="1">
      <alignment horizontal="left"/>
      <protection locked="0"/>
    </xf>
    <xf numFmtId="166" fontId="57" fillId="41" borderId="23" xfId="79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66" fontId="57" fillId="41" borderId="16" xfId="79" applyFont="1" applyFill="1" applyBorder="1" applyAlignment="1" applyProtection="1">
      <alignment horizontal="left"/>
      <protection locked="0"/>
    </xf>
    <xf numFmtId="166" fontId="57" fillId="41" borderId="13" xfId="79" applyFont="1" applyFill="1" applyBorder="1" applyAlignment="1" applyProtection="1">
      <alignment horizontal="left"/>
      <protection locked="0"/>
    </xf>
    <xf numFmtId="166" fontId="57" fillId="41" borderId="0" xfId="79" applyFont="1" applyFill="1" applyBorder="1" applyAlignment="1" applyProtection="1">
      <alignment horizontal="center"/>
      <protection locked="0"/>
    </xf>
    <xf numFmtId="166" fontId="57" fillId="42" borderId="16" xfId="79" applyFont="1" applyFill="1" applyBorder="1" applyAlignment="1" applyProtection="1">
      <alignment horizontal="left"/>
      <protection/>
    </xf>
    <xf numFmtId="166" fontId="57" fillId="42" borderId="17" xfId="79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66" fontId="57" fillId="41" borderId="0" xfId="79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66" fontId="57" fillId="41" borderId="17" xfId="79" applyFont="1" applyFill="1" applyBorder="1" applyAlignment="1" applyProtection="1">
      <alignment horizontal="center" vertical="center"/>
      <protection locked="0"/>
    </xf>
    <xf numFmtId="166" fontId="57" fillId="41" borderId="0" xfId="79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66" fontId="59" fillId="42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6" fontId="59" fillId="41" borderId="21" xfId="79" applyFont="1" applyFill="1" applyBorder="1" applyAlignment="1" applyProtection="1">
      <alignment vertical="center" wrapText="1"/>
      <protection locked="0"/>
    </xf>
    <xf numFmtId="166" fontId="59" fillId="41" borderId="23" xfId="79" applyFont="1" applyFill="1" applyBorder="1" applyAlignment="1" applyProtection="1">
      <alignment vertical="center" wrapText="1"/>
      <protection locked="0"/>
    </xf>
    <xf numFmtId="166" fontId="57" fillId="41" borderId="21" xfId="79" applyFont="1" applyFill="1" applyBorder="1" applyAlignment="1" applyProtection="1">
      <alignment/>
      <protection locked="0"/>
    </xf>
    <xf numFmtId="166" fontId="57" fillId="41" borderId="23" xfId="79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9" fillId="41" borderId="16" xfId="79" applyFont="1" applyFill="1" applyBorder="1" applyAlignment="1" applyProtection="1">
      <alignment vertical="center" wrapText="1"/>
      <protection locked="0"/>
    </xf>
    <xf numFmtId="166" fontId="59" fillId="41" borderId="13" xfId="79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79" applyFont="1" applyFill="1" applyBorder="1" applyAlignment="1" applyProtection="1">
      <alignment/>
      <protection locked="0"/>
    </xf>
    <xf numFmtId="166" fontId="57" fillId="41" borderId="18" xfId="79" applyFont="1" applyFill="1" applyBorder="1" applyAlignment="1" applyProtection="1">
      <alignment/>
      <protection locked="0"/>
    </xf>
    <xf numFmtId="166" fontId="59" fillId="52" borderId="22" xfId="79" applyFont="1" applyFill="1" applyBorder="1" applyAlignment="1" applyProtection="1">
      <alignment/>
      <protection/>
    </xf>
    <xf numFmtId="166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68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66" fontId="57" fillId="0" borderId="22" xfId="72" applyNumberFormat="1" applyFont="1" applyFill="1" applyBorder="1" applyAlignment="1" applyProtection="1">
      <alignment horizontal="center"/>
      <protection/>
    </xf>
    <xf numFmtId="166" fontId="57" fillId="0" borderId="22" xfId="79" applyFont="1" applyFill="1" applyBorder="1" applyAlignment="1" applyProtection="1">
      <alignment horizontal="center"/>
      <protection/>
    </xf>
    <xf numFmtId="166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66" fontId="0" fillId="41" borderId="20" xfId="79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66" fontId="57" fillId="0" borderId="19" xfId="72" applyNumberFormat="1" applyFont="1" applyFill="1" applyBorder="1" applyAlignment="1" applyProtection="1">
      <alignment horizontal="center" vertical="center"/>
      <protection/>
    </xf>
    <xf numFmtId="166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68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66" fontId="15" fillId="41" borderId="17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16" xfId="79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1" borderId="25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22" xfId="79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center"/>
      <protection locked="0"/>
    </xf>
    <xf numFmtId="166" fontId="15" fillId="41" borderId="17" xfId="79" applyFont="1" applyFill="1" applyBorder="1" applyAlignment="1" applyProtection="1">
      <alignment horizontal="center"/>
      <protection locked="0"/>
    </xf>
    <xf numFmtId="166" fontId="15" fillId="41" borderId="0" xfId="79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66" fontId="15" fillId="41" borderId="13" xfId="79" applyFont="1" applyFill="1" applyBorder="1" applyAlignment="1" applyProtection="1">
      <alignment/>
      <protection locked="0"/>
    </xf>
    <xf numFmtId="166" fontId="15" fillId="41" borderId="14" xfId="79" applyFont="1" applyFill="1" applyBorder="1" applyAlignment="1" applyProtection="1">
      <alignment/>
      <protection locked="0"/>
    </xf>
    <xf numFmtId="166" fontId="15" fillId="41" borderId="19" xfId="79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66" fontId="15" fillId="0" borderId="13" xfId="79" applyFont="1" applyFill="1" applyBorder="1" applyAlignment="1" applyProtection="1">
      <alignment/>
      <protection/>
    </xf>
    <xf numFmtId="166" fontId="15" fillId="41" borderId="16" xfId="79" applyFont="1" applyFill="1" applyBorder="1" applyAlignment="1" applyProtection="1">
      <alignment/>
      <protection locked="0"/>
    </xf>
    <xf numFmtId="166" fontId="15" fillId="41" borderId="17" xfId="79" applyNumberFormat="1" applyFont="1" applyFill="1" applyBorder="1" applyAlignment="1" applyProtection="1">
      <alignment/>
      <protection locked="0"/>
    </xf>
    <xf numFmtId="166" fontId="15" fillId="41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79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6" fontId="15" fillId="41" borderId="18" xfId="79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66" fontId="15" fillId="41" borderId="11" xfId="79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6" fontId="24" fillId="41" borderId="21" xfId="79" applyFont="1" applyFill="1" applyBorder="1" applyAlignment="1" applyProtection="1">
      <alignment horizontal="center"/>
      <protection/>
    </xf>
    <xf numFmtId="166" fontId="24" fillId="35" borderId="16" xfId="79" applyFont="1" applyFill="1" applyBorder="1" applyAlignment="1" applyProtection="1">
      <alignment horizontal="center"/>
      <protection/>
    </xf>
    <xf numFmtId="166" fontId="24" fillId="38" borderId="16" xfId="79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/>
      <protection locked="0"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66" fontId="24" fillId="43" borderId="16" xfId="79" applyFont="1" applyFill="1" applyBorder="1" applyAlignment="1" applyProtection="1">
      <alignment horizontal="center"/>
      <protection locked="0"/>
    </xf>
    <xf numFmtId="166" fontId="24" fillId="41" borderId="17" xfId="79" applyFont="1" applyFill="1" applyBorder="1" applyAlignment="1" applyProtection="1">
      <alignment horizontal="center" vertical="center"/>
      <protection locked="0"/>
    </xf>
    <xf numFmtId="166" fontId="24" fillId="41" borderId="18" xfId="79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/>
      <protection/>
    </xf>
    <xf numFmtId="166" fontId="24" fillId="41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 vertical="center"/>
      <protection locked="0"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166" fontId="26" fillId="41" borderId="16" xfId="79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166" fontId="31" fillId="43" borderId="16" xfId="79" applyFont="1" applyFill="1" applyBorder="1" applyAlignment="1" applyProtection="1">
      <alignment horizontal="center"/>
      <protection locked="0"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166" fontId="24" fillId="35" borderId="21" xfId="79" applyFont="1" applyFill="1" applyBorder="1" applyAlignment="1" applyProtection="1">
      <alignment horizontal="center"/>
      <protection/>
    </xf>
    <xf numFmtId="166" fontId="24" fillId="41" borderId="18" xfId="79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/>
    </xf>
    <xf numFmtId="166" fontId="24" fillId="35" borderId="16" xfId="79" applyFont="1" applyFill="1" applyBorder="1" applyAlignment="1" applyProtection="1">
      <alignment horizontal="center" wrapText="1"/>
      <protection/>
    </xf>
    <xf numFmtId="166" fontId="24" fillId="38" borderId="16" xfId="79" applyFont="1" applyFill="1" applyBorder="1" applyAlignment="1" applyProtection="1">
      <alignment horizont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 locked="0"/>
    </xf>
    <xf numFmtId="166" fontId="26" fillId="41" borderId="22" xfId="79" applyFont="1" applyFill="1" applyBorder="1" applyAlignment="1" applyProtection="1">
      <alignment horizontal="center"/>
      <protection/>
    </xf>
    <xf numFmtId="166" fontId="24" fillId="41" borderId="22" xfId="79" applyFont="1" applyFill="1" applyBorder="1" applyAlignment="1" applyProtection="1">
      <alignment horizontal="center" wrapText="1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66" fontId="24" fillId="35" borderId="16" xfId="79" applyFont="1" applyFill="1" applyBorder="1" applyAlignment="1" applyProtection="1">
      <alignment horizontal="center" vertical="center"/>
      <protection/>
    </xf>
    <xf numFmtId="166" fontId="24" fillId="38" borderId="16" xfId="79" applyFont="1" applyFill="1" applyBorder="1" applyAlignment="1" applyProtection="1">
      <alignment horizontal="center" vertical="center"/>
      <protection/>
    </xf>
    <xf numFmtId="166" fontId="24" fillId="41" borderId="22" xfId="79" applyFont="1" applyFill="1" applyBorder="1" applyAlignment="1" applyProtection="1">
      <alignment horizontal="center" vertical="center"/>
      <protection/>
    </xf>
    <xf numFmtId="166" fontId="24" fillId="41" borderId="22" xfId="79" applyFont="1" applyFill="1" applyBorder="1" applyAlignment="1" applyProtection="1">
      <alignment horizontal="center" vertical="center" wrapText="1"/>
      <protection/>
    </xf>
    <xf numFmtId="166" fontId="24" fillId="41" borderId="22" xfId="79" applyFont="1" applyFill="1" applyBorder="1" applyAlignment="1" applyProtection="1">
      <alignment horizontal="center" vertical="top" wrapText="1"/>
      <protection locked="0"/>
    </xf>
    <xf numFmtId="166" fontId="24" fillId="41" borderId="21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16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6" fontId="24" fillId="41" borderId="21" xfId="79" applyFont="1" applyFill="1" applyBorder="1" applyAlignment="1" applyProtection="1">
      <alignment horizontal="center" wrapText="1"/>
      <protection locked="0"/>
    </xf>
    <xf numFmtId="166" fontId="24" fillId="41" borderId="21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Font="1" applyFill="1" applyBorder="1" applyAlignment="1" applyProtection="1">
      <alignment horizontal="center" vertical="top" wrapText="1"/>
      <protection locked="0"/>
    </xf>
    <xf numFmtId="166" fontId="24" fillId="41" borderId="18" xfId="79" applyFont="1" applyFill="1" applyBorder="1" applyAlignment="1" applyProtection="1">
      <alignment horizontal="center" wrapText="1"/>
      <protection locked="0"/>
    </xf>
    <xf numFmtId="166" fontId="24" fillId="41" borderId="18" xfId="79" applyFont="1" applyFill="1" applyBorder="1" applyAlignment="1" applyProtection="1">
      <alignment horizontal="center" vertical="top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66" fontId="24" fillId="0" borderId="16" xfId="79" applyFont="1" applyFill="1" applyBorder="1" applyAlignment="1" applyProtection="1">
      <alignment horizontal="center" wrapText="1"/>
      <protection/>
    </xf>
    <xf numFmtId="166" fontId="24" fillId="38" borderId="16" xfId="79" applyFont="1" applyFill="1" applyBorder="1" applyAlignment="1" applyProtection="1">
      <alignment horizontal="center" wrapText="1"/>
      <protection locked="0"/>
    </xf>
    <xf numFmtId="166" fontId="24" fillId="0" borderId="22" xfId="79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6" fontId="24" fillId="0" borderId="21" xfId="79" applyFont="1" applyFill="1" applyBorder="1" applyAlignment="1" applyProtection="1">
      <alignment horizontal="center"/>
      <protection/>
    </xf>
    <xf numFmtId="166" fontId="24" fillId="0" borderId="16" xfId="79" applyFont="1" applyFill="1" applyBorder="1" applyAlignment="1" applyProtection="1">
      <alignment horizontal="center"/>
      <protection/>
    </xf>
    <xf numFmtId="166" fontId="24" fillId="41" borderId="21" xfId="79" applyNumberFormat="1" applyFont="1" applyFill="1" applyBorder="1" applyAlignment="1" applyProtection="1">
      <alignment horizontal="center"/>
      <protection locked="0"/>
    </xf>
    <xf numFmtId="166" fontId="24" fillId="41" borderId="18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2" xfId="0" applyFont="1" applyFill="1" applyBorder="1" applyAlignment="1">
      <alignment horizontal="center" vertical="center"/>
    </xf>
    <xf numFmtId="0" fontId="24" fillId="48" borderId="29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169" fontId="24" fillId="47" borderId="21" xfId="0" applyNumberFormat="1" applyFont="1" applyFill="1" applyBorder="1" applyAlignment="1">
      <alignment horizontal="right" vertical="center"/>
    </xf>
    <xf numFmtId="169" fontId="24" fillId="43" borderId="31" xfId="0" applyNumberFormat="1" applyFont="1" applyFill="1" applyBorder="1" applyAlignment="1">
      <alignment horizontal="right" vertical="center"/>
    </xf>
    <xf numFmtId="40" fontId="24" fillId="22" borderId="31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horizontal="right" vertical="center"/>
    </xf>
    <xf numFmtId="40" fontId="24" fillId="43" borderId="31" xfId="0" applyNumberFormat="1" applyFont="1" applyFill="1" applyBorder="1" applyAlignment="1">
      <alignment horizontal="right" vertical="center"/>
    </xf>
    <xf numFmtId="40" fontId="24" fillId="22" borderId="31" xfId="0" applyNumberFormat="1" applyFont="1" applyFill="1" applyBorder="1" applyAlignment="1" applyProtection="1">
      <alignment vertical="center"/>
      <protection locked="0"/>
    </xf>
    <xf numFmtId="40" fontId="24" fillId="47" borderId="16" xfId="0" applyNumberFormat="1" applyFont="1" applyFill="1" applyBorder="1" applyAlignment="1">
      <alignment horizontal="right" vertical="center"/>
    </xf>
    <xf numFmtId="40" fontId="24" fillId="47" borderId="31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0" fontId="26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171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/>
      <protection locked="0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4" fillId="48" borderId="34" xfId="0" applyNumberFormat="1" applyFont="1" applyFill="1" applyBorder="1" applyAlignment="1" applyProtection="1">
      <alignment horizontal="right" vertical="center"/>
      <protection locked="0"/>
    </xf>
    <xf numFmtId="40" fontId="24" fillId="48" borderId="35" xfId="0" applyNumberFormat="1" applyFont="1" applyFill="1" applyBorder="1" applyAlignment="1" applyProtection="1">
      <alignment horizontal="right" vertical="center"/>
      <protection locked="0"/>
    </xf>
    <xf numFmtId="40" fontId="26" fillId="48" borderId="35" xfId="0" applyNumberFormat="1" applyFont="1" applyFill="1" applyBorder="1" applyAlignment="1" applyProtection="1">
      <alignment horizontal="right" vertical="center"/>
      <protection locked="0"/>
    </xf>
    <xf numFmtId="171" fontId="24" fillId="48" borderId="35" xfId="0" applyNumberFormat="1" applyFont="1" applyFill="1" applyBorder="1" applyAlignment="1" applyProtection="1">
      <alignment horizontal="right" vertical="center"/>
      <protection locked="0"/>
    </xf>
    <xf numFmtId="169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7" fillId="48" borderId="22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0" fontId="27" fillId="48" borderId="25" xfId="0" applyFont="1" applyFill="1" applyBorder="1" applyAlignment="1">
      <alignment horizontal="center" vertical="center"/>
    </xf>
    <xf numFmtId="40" fontId="24" fillId="0" borderId="35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6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166" fontId="24" fillId="0" borderId="16" xfId="72" applyNumberFormat="1" applyFont="1" applyFill="1" applyBorder="1" applyAlignment="1" applyProtection="1">
      <alignment horizontal="center"/>
      <protection/>
    </xf>
    <xf numFmtId="166" fontId="24" fillId="0" borderId="22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6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0" xfId="79" applyFont="1" applyFill="1" applyBorder="1" applyAlignment="1" applyProtection="1">
      <alignment horizontal="center" vertical="top" wrapText="1"/>
      <protection/>
    </xf>
    <xf numFmtId="166" fontId="24" fillId="41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center" vertical="top" wrapText="1"/>
      <protection/>
    </xf>
    <xf numFmtId="166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166" fontId="24" fillId="0" borderId="20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6" fontId="24" fillId="41" borderId="19" xfId="79" applyFont="1" applyFill="1" applyBorder="1" applyAlignment="1" applyProtection="1">
      <alignment horizontal="center"/>
      <protection locked="0"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166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6" fontId="24" fillId="0" borderId="17" xfId="79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6" fontId="24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0" fontId="24" fillId="0" borderId="13" xfId="72" applyFont="1" applyFill="1" applyBorder="1" applyAlignment="1" applyProtection="1">
      <alignment horizontal="left" vertical="center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166" fontId="24" fillId="0" borderId="13" xfId="79" applyFont="1" applyFill="1" applyBorder="1" applyAlignment="1" applyProtection="1">
      <alignment horizontal="center" vertical="top" wrapText="1"/>
      <protection/>
    </xf>
    <xf numFmtId="166" fontId="24" fillId="0" borderId="0" xfId="79" applyFont="1" applyFill="1" applyBorder="1" applyAlignment="1" applyProtection="1">
      <alignment horizontal="center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4" xfId="79" applyFont="1" applyFill="1" applyBorder="1" applyAlignment="1" applyProtection="1">
      <alignment horizontal="center" vertical="top" wrapText="1"/>
      <protection/>
    </xf>
    <xf numFmtId="166" fontId="24" fillId="0" borderId="15" xfId="79" applyFont="1" applyFill="1" applyBorder="1" applyAlignment="1" applyProtection="1">
      <alignment horizontal="center" vertical="top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0" fillId="41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6" fontId="52" fillId="41" borderId="17" xfId="79" applyFont="1" applyFill="1" applyBorder="1" applyAlignment="1" applyProtection="1">
      <alignment horizontal="center"/>
      <protection locked="0"/>
    </xf>
    <xf numFmtId="166" fontId="0" fillId="41" borderId="17" xfId="79" applyFont="1" applyFill="1" applyBorder="1" applyAlignment="1" applyProtection="1">
      <alignment horizontal="center"/>
      <protection locked="0"/>
    </xf>
    <xf numFmtId="0" fontId="24" fillId="0" borderId="15" xfId="72" applyFont="1" applyFill="1" applyBorder="1" applyAlignment="1" applyProtection="1">
      <alignment horizontal="left" wrapText="1"/>
      <protection/>
    </xf>
    <xf numFmtId="166" fontId="0" fillId="41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5" xfId="79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6" fillId="41" borderId="18" xfId="72" applyFont="1" applyFill="1" applyBorder="1" applyAlignment="1" applyProtection="1">
      <alignment horizontal="center" vertical="top"/>
      <protection/>
    </xf>
    <xf numFmtId="166" fontId="24" fillId="41" borderId="21" xfId="79" applyFont="1" applyFill="1" applyBorder="1" applyAlignment="1" applyProtection="1">
      <alignment horizontal="right" vertical="top" wrapText="1"/>
      <protection locked="0"/>
    </xf>
    <xf numFmtId="166" fontId="24" fillId="41" borderId="16" xfId="79" applyFont="1" applyFill="1" applyBorder="1" applyAlignment="1" applyProtection="1">
      <alignment horizontal="right" vertical="top" wrapText="1"/>
      <protection locked="0"/>
    </xf>
    <xf numFmtId="166" fontId="24" fillId="0" borderId="22" xfId="79" applyFont="1" applyFill="1" applyBorder="1" applyAlignment="1" applyProtection="1">
      <alignment horizontal="right" vertical="top" wrapText="1"/>
      <protection/>
    </xf>
    <xf numFmtId="166" fontId="24" fillId="41" borderId="22" xfId="72" applyNumberFormat="1" applyFont="1" applyFill="1" applyBorder="1" applyAlignment="1" applyProtection="1">
      <alignment horizontal="center" vertical="center" wrapText="1"/>
      <protection/>
    </xf>
    <xf numFmtId="166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66" fontId="15" fillId="41" borderId="21" xfId="79" applyFont="1" applyFill="1" applyBorder="1" applyAlignment="1" applyProtection="1">
      <alignment horizontal="center"/>
      <protection locked="0"/>
    </xf>
    <xf numFmtId="166" fontId="15" fillId="0" borderId="21" xfId="79" applyFont="1" applyFill="1" applyBorder="1" applyAlignment="1" applyProtection="1">
      <alignment horizontal="center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6" fontId="15" fillId="41" borderId="16" xfId="79" applyFont="1" applyFill="1" applyBorder="1" applyAlignment="1" applyProtection="1">
      <alignment horizontal="center"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41" borderId="16" xfId="79" applyFont="1" applyFill="1" applyBorder="1" applyAlignment="1" applyProtection="1">
      <alignment horizontal="center" vertical="center"/>
      <protection locked="0"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66" fontId="57" fillId="0" borderId="21" xfId="79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6" fontId="57" fillId="41" borderId="16" xfId="79" applyFont="1" applyFill="1" applyBorder="1" applyAlignment="1" applyProtection="1">
      <alignment horizontal="center"/>
      <protection locked="0"/>
    </xf>
    <xf numFmtId="166" fontId="57" fillId="0" borderId="16" xfId="79" applyFont="1" applyFill="1" applyBorder="1" applyAlignment="1" applyProtection="1">
      <alignment horizontal="center"/>
      <protection/>
    </xf>
    <xf numFmtId="166" fontId="59" fillId="0" borderId="22" xfId="79" applyFont="1" applyFill="1" applyBorder="1" applyAlignment="1" applyProtection="1">
      <alignment horizontal="center" vertic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166" fontId="59" fillId="0" borderId="22" xfId="79" applyFont="1" applyFill="1" applyBorder="1" applyAlignment="1" applyProtection="1">
      <alignment horizont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66" fontId="57" fillId="42" borderId="25" xfId="79" applyFont="1" applyFill="1" applyBorder="1" applyAlignment="1" applyProtection="1">
      <alignment horizontal="center" vertical="center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66" fontId="57" fillId="41" borderId="20" xfId="79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7" fillId="41" borderId="17" xfId="79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66" fontId="59" fillId="0" borderId="19" xfId="79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166" fontId="59" fillId="41" borderId="20" xfId="79" applyFont="1" applyFill="1" applyBorder="1" applyAlignment="1" applyProtection="1">
      <alignment horizontal="center" vertical="center" wrapText="1"/>
      <protection locked="0"/>
    </xf>
    <xf numFmtId="166" fontId="59" fillId="41" borderId="17" xfId="79" applyFont="1" applyFill="1" applyBorder="1" applyAlignment="1" applyProtection="1">
      <alignment horizontal="center" vertical="center" wrapText="1"/>
      <protection locked="0"/>
    </xf>
    <xf numFmtId="166" fontId="59" fillId="42" borderId="19" xfId="79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166" fontId="59" fillId="41" borderId="20" xfId="79" applyFont="1" applyFill="1" applyBorder="1" applyAlignment="1" applyProtection="1">
      <alignment horizontal="center" vertical="center"/>
      <protection locked="0"/>
    </xf>
    <xf numFmtId="166" fontId="59" fillId="41" borderId="17" xfId="79" applyFont="1" applyFill="1" applyBorder="1" applyAlignment="1" applyProtection="1">
      <alignment horizontal="center" vertical="center"/>
      <protection locked="0"/>
    </xf>
    <xf numFmtId="0" fontId="59" fillId="42" borderId="15" xfId="0" applyFont="1" applyFill="1" applyBorder="1" applyAlignment="1" applyProtection="1">
      <alignment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166" fontId="57" fillId="41" borderId="18" xfId="79" applyFont="1" applyFill="1" applyBorder="1" applyAlignment="1" applyProtection="1">
      <alignment horizontal="center"/>
      <protection locked="0"/>
    </xf>
    <xf numFmtId="166" fontId="57" fillId="0" borderId="22" xfId="72" applyNumberFormat="1" applyFont="1" applyFill="1" applyBorder="1" applyAlignment="1" applyProtection="1">
      <alignment horizontal="center"/>
      <protection/>
    </xf>
    <xf numFmtId="0" fontId="60" fillId="0" borderId="12" xfId="72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166" fontId="15" fillId="0" borderId="16" xfId="79" applyFont="1" applyFill="1" applyBorder="1" applyAlignment="1" applyProtection="1">
      <alignment horizontal="left" vertical="top"/>
      <protection/>
    </xf>
    <xf numFmtId="166" fontId="15" fillId="0" borderId="21" xfId="79" applyFont="1" applyFill="1" applyBorder="1" applyAlignment="1" applyProtection="1">
      <alignment horizontal="center" vertical="top"/>
      <protection/>
    </xf>
    <xf numFmtId="166" fontId="15" fillId="0" borderId="17" xfId="79" applyFont="1" applyFill="1" applyBorder="1" applyAlignment="1" applyProtection="1">
      <alignment horizontal="center" vertical="top"/>
      <protection/>
    </xf>
    <xf numFmtId="166" fontId="15" fillId="41" borderId="16" xfId="79" applyNumberFormat="1" applyFont="1" applyFill="1" applyBorder="1" applyAlignment="1" applyProtection="1">
      <alignment horizontal="left" vertical="top"/>
      <protection locked="0"/>
    </xf>
    <xf numFmtId="166" fontId="15" fillId="41" borderId="18" xfId="79" applyNumberFormat="1" applyFont="1" applyFill="1" applyBorder="1" applyAlignment="1" applyProtection="1">
      <alignment horizontal="center" vertical="top"/>
      <protection locked="0"/>
    </xf>
    <xf numFmtId="166" fontId="15" fillId="41" borderId="17" xfId="79" applyNumberFormat="1" applyFont="1" applyFill="1" applyBorder="1" applyAlignment="1" applyProtection="1">
      <alignment horizontal="center" vertical="top"/>
      <protection locked="0"/>
    </xf>
    <xf numFmtId="166" fontId="15" fillId="0" borderId="21" xfId="79" applyFont="1" applyFill="1" applyBorder="1" applyAlignment="1" applyProtection="1">
      <alignment horizontal="left" vertical="top"/>
      <protection/>
    </xf>
    <xf numFmtId="166" fontId="15" fillId="0" borderId="16" xfId="79" applyFont="1" applyFill="1" applyBorder="1" applyAlignment="1" applyProtection="1">
      <alignment horizontal="center" vertical="top"/>
      <protection/>
    </xf>
    <xf numFmtId="166" fontId="15" fillId="0" borderId="20" xfId="79" applyFont="1" applyFill="1" applyBorder="1" applyAlignment="1" applyProtection="1">
      <alignment horizontal="center" vertical="top"/>
      <protection/>
    </xf>
    <xf numFmtId="166" fontId="15" fillId="41" borderId="16" xfId="79" applyNumberFormat="1" applyFont="1" applyFill="1" applyBorder="1" applyAlignment="1" applyProtection="1">
      <alignment horizontal="center" vertical="top"/>
      <protection locked="0"/>
    </xf>
    <xf numFmtId="166" fontId="15" fillId="41" borderId="18" xfId="79" applyNumberFormat="1" applyFont="1" applyFill="1" applyBorder="1" applyAlignment="1" applyProtection="1">
      <alignment horizontal="left" vertical="top"/>
      <protection locked="0"/>
    </xf>
    <xf numFmtId="166" fontId="15" fillId="41" borderId="19" xfId="79" applyNumberFormat="1" applyFont="1" applyFill="1" applyBorder="1" applyAlignment="1" applyProtection="1">
      <alignment horizontal="center" vertical="top"/>
      <protection locked="0"/>
    </xf>
    <xf numFmtId="166" fontId="15" fillId="41" borderId="16" xfId="79" applyNumberFormat="1" applyFont="1" applyFill="1" applyBorder="1" applyAlignment="1" applyProtection="1">
      <alignment horizontal="center" vertical="center"/>
      <protection locked="0"/>
    </xf>
    <xf numFmtId="166" fontId="15" fillId="41" borderId="17" xfId="79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166" fontId="15" fillId="41" borderId="13" xfId="79" applyFont="1" applyFill="1" applyBorder="1" applyAlignment="1" applyProtection="1">
      <alignment horizontal="center"/>
      <protection locked="0"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166" fontId="15" fillId="41" borderId="22" xfId="79" applyFont="1" applyFill="1" applyBorder="1" applyAlignment="1" applyProtection="1">
      <alignment horizontal="center"/>
      <protection locked="0"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PageLayoutView="0" workbookViewId="0" topLeftCell="A1">
      <selection activeCell="B23" sqref="B23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0" t="s">
        <v>1138</v>
      </c>
      <c r="B1" s="860"/>
    </row>
    <row r="2" spans="1:2" ht="18.75" customHeight="1">
      <c r="A2" s="860" t="s">
        <v>1139</v>
      </c>
      <c r="B2" s="860"/>
    </row>
    <row r="3" spans="1:256" ht="22.5" customHeight="1">
      <c r="A3" s="860" t="s">
        <v>1140</v>
      </c>
      <c r="B3" s="860"/>
      <c r="D3" s="861" t="str">
        <f>IF(IT11=1,"","O preenchimento do período (Bimestre) diferente do indicado pode comprometer a obtenção de alguns índices!!!! Selecione o período clicando na setinha à direita da linha que indica o período!!!!")</f>
        <v>O preenchimento do período (Bimestre) diferente do indicado pode comprometer a obtenção de alguns índices!!!! Selecione o período clicando na setinha à direita da linha que indica o período!!!!</v>
      </c>
      <c r="E3" s="861"/>
      <c r="F3" s="861"/>
      <c r="G3" s="861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2" t="s">
        <v>0</v>
      </c>
      <c r="B4" s="862"/>
      <c r="C4" s="5"/>
      <c r="D4" s="861"/>
      <c r="E4" s="861"/>
      <c r="F4" s="861"/>
      <c r="G4" s="861"/>
      <c r="H4" s="5"/>
      <c r="I4" s="5"/>
      <c r="II4" s="863" t="s">
        <v>1</v>
      </c>
      <c r="IJ4" s="863"/>
      <c r="IK4" s="863"/>
      <c r="IL4" s="863"/>
      <c r="IM4" s="863"/>
      <c r="IN4" s="863"/>
      <c r="IO4" s="3">
        <f>IF($A$5=IP4,1,0)</f>
        <v>1</v>
      </c>
      <c r="IP4" s="864" t="s">
        <v>2</v>
      </c>
      <c r="IQ4" s="864"/>
      <c r="IR4" s="864"/>
      <c r="IS4" s="864"/>
      <c r="IT4" s="864"/>
      <c r="IU4" s="864"/>
      <c r="IV4" s="864"/>
    </row>
    <row r="5" spans="1:256" ht="18.75" customHeight="1">
      <c r="A5" s="860" t="s">
        <v>2</v>
      </c>
      <c r="B5" s="860"/>
      <c r="D5" s="861"/>
      <c r="E5" s="861"/>
      <c r="F5" s="861"/>
      <c r="G5" s="861"/>
      <c r="II5" s="863"/>
      <c r="IJ5" s="863"/>
      <c r="IK5" s="863"/>
      <c r="IL5" s="863"/>
      <c r="IM5" s="863"/>
      <c r="IN5" s="863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5" t="s">
        <v>4</v>
      </c>
      <c r="B6" s="865"/>
      <c r="D6" s="861"/>
      <c r="E6" s="861"/>
      <c r="F6" s="861"/>
      <c r="G6" s="861"/>
      <c r="II6" s="863"/>
      <c r="IJ6" s="863"/>
      <c r="IK6" s="863"/>
      <c r="IL6" s="863"/>
      <c r="IM6" s="863"/>
      <c r="IN6" s="863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6">
        <f>IF(B19="","Por favor, informe o endereço eletrônico do Portal da Transparência.","")</f>
      </c>
      <c r="B7" s="866"/>
      <c r="D7" s="861"/>
      <c r="E7" s="861"/>
      <c r="F7" s="861"/>
      <c r="G7" s="861"/>
      <c r="II7" s="863"/>
      <c r="IJ7" s="863"/>
      <c r="IK7" s="863"/>
      <c r="IL7" s="863"/>
      <c r="IM7" s="863"/>
      <c r="IN7" s="863"/>
      <c r="IO7" s="3"/>
      <c r="IP7" s="3"/>
      <c r="IQ7" s="3"/>
      <c r="IR7" s="3"/>
      <c r="IS7" s="4"/>
      <c r="IT7" s="4">
        <f t="shared" si="0"/>
        <v>1</v>
      </c>
      <c r="IU7" s="4"/>
      <c r="IV7" s="7" t="s">
        <v>2</v>
      </c>
    </row>
    <row r="8" spans="1:256" ht="18" customHeight="1">
      <c r="A8" s="8" t="s">
        <v>6</v>
      </c>
      <c r="B8" s="9"/>
      <c r="II8" s="863"/>
      <c r="IJ8" s="863"/>
      <c r="IK8" s="863"/>
      <c r="IL8" s="863"/>
      <c r="IM8" s="863"/>
      <c r="IN8" s="863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11" t="s">
        <v>1141</v>
      </c>
      <c r="C9" s="12">
        <f>IF(B9="",1,0)</f>
        <v>0</v>
      </c>
      <c r="II9" s="863"/>
      <c r="IJ9" s="863"/>
      <c r="IK9" s="863"/>
      <c r="IL9" s="863"/>
      <c r="IM9" s="863"/>
      <c r="IN9" s="863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1142</v>
      </c>
      <c r="C10" s="12">
        <f>IF(B10="",1,0)</f>
        <v>0</v>
      </c>
      <c r="II10" s="863"/>
      <c r="IJ10" s="863"/>
      <c r="IK10" s="863"/>
      <c r="IL10" s="863"/>
      <c r="IM10" s="863"/>
      <c r="IN10" s="863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2</v>
      </c>
      <c r="IU11" s="4"/>
      <c r="IV11" s="4"/>
    </row>
    <row r="12" spans="1:3" ht="12.75" customHeight="1">
      <c r="A12" s="13" t="s">
        <v>13</v>
      </c>
      <c r="B12" s="11" t="s">
        <v>1144</v>
      </c>
      <c r="C12" s="12">
        <f>IF(B12="",1,0)</f>
        <v>0</v>
      </c>
    </row>
    <row r="13" spans="1:3" ht="12.75" customHeight="1">
      <c r="A13" s="10" t="s">
        <v>14</v>
      </c>
      <c r="B13" s="11" t="s">
        <v>1145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1146</v>
      </c>
      <c r="C15" s="12">
        <f>IF(B15="",1,0)</f>
        <v>0</v>
      </c>
    </row>
    <row r="16" spans="1:3" ht="15" customHeight="1">
      <c r="A16" s="14" t="s">
        <v>17</v>
      </c>
      <c r="B16" s="15">
        <v>43307</v>
      </c>
      <c r="C16" s="12">
        <f>IF(B16="",1,0)</f>
        <v>0</v>
      </c>
    </row>
    <row r="17" spans="1:3" ht="12.75" customHeight="1">
      <c r="A17" s="10" t="s">
        <v>18</v>
      </c>
      <c r="B17" s="15">
        <v>43307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1147</v>
      </c>
      <c r="C19" s="12">
        <f>IF(B19="",1,0)</f>
        <v>0</v>
      </c>
    </row>
    <row r="20" spans="1:3" ht="12.75" customHeight="1">
      <c r="A20" s="13" t="s">
        <v>21</v>
      </c>
      <c r="B20" s="11" t="s">
        <v>1148</v>
      </c>
      <c r="C20" s="12">
        <f>IF(B20="",1,0)</f>
        <v>0</v>
      </c>
    </row>
    <row r="21" spans="1:3" ht="12.75" customHeight="1">
      <c r="A21" s="18" t="s">
        <v>22</v>
      </c>
      <c r="B21" s="11" t="s">
        <v>1149</v>
      </c>
      <c r="C21" s="12">
        <f>IF(B21="",1,0)</f>
        <v>0</v>
      </c>
    </row>
    <row r="22" spans="1:3" ht="14.25" customHeight="1">
      <c r="A22" s="19" t="s">
        <v>23</v>
      </c>
      <c r="B22" s="20" t="s">
        <v>1147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40" zoomScaleNormal="14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13" t="s">
        <v>812</v>
      </c>
      <c r="B1" s="1113"/>
      <c r="C1" s="1113"/>
      <c r="D1" s="1113"/>
      <c r="E1" s="1113"/>
      <c r="F1" s="1113"/>
    </row>
    <row r="2" spans="1:13" ht="14.25" customHeight="1">
      <c r="A2" s="1114" t="str">
        <f>'Informações Iniciais'!A1</f>
        <v>ESTADO DO MARANHÃO - MUNICÍPIO DE SÃO FRANCISCO DO BREJÃO</v>
      </c>
      <c r="B2" s="1114"/>
      <c r="C2" s="1114"/>
      <c r="D2" s="1114"/>
      <c r="E2" s="1114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15" t="s">
        <v>0</v>
      </c>
      <c r="B3" s="1115"/>
      <c r="C3" s="1115"/>
      <c r="D3" s="1115"/>
      <c r="E3" s="1115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16" t="s">
        <v>660</v>
      </c>
      <c r="B4" s="1116"/>
      <c r="C4" s="1116"/>
      <c r="D4" s="1116"/>
      <c r="E4" s="1116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17" t="s">
        <v>28</v>
      </c>
      <c r="B5" s="1117"/>
      <c r="C5" s="1117"/>
      <c r="D5" s="1117"/>
      <c r="E5" s="1117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14" t="str">
        <f>'Informações Iniciais'!A5</f>
        <v>3º Bimestre de 2018</v>
      </c>
      <c r="B6" s="1114"/>
      <c r="C6" s="1114"/>
      <c r="D6" s="1114"/>
      <c r="E6" s="1114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18">
        <f>IF(C27&lt;&gt;(E27+G27),"ERRO!!!! O total das DESPESAS EMPENHADAS deve ser igual ao somatório dos totais das DESPESAS LIQUIDADAS e INSCRITAS EM RESTOS A PAGAR NÃO PROCESSADOS.","")</f>
      </c>
      <c r="B7" s="1118"/>
      <c r="C7" s="1118"/>
      <c r="D7" s="1118"/>
      <c r="E7" s="1118"/>
      <c r="F7" s="1118"/>
      <c r="G7" s="1118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813</v>
      </c>
      <c r="B8" s="513"/>
      <c r="C8" s="513"/>
      <c r="D8" s="513"/>
      <c r="E8" s="513"/>
      <c r="F8" s="513"/>
      <c r="G8" s="514" t="s">
        <v>30</v>
      </c>
      <c r="H8" s="442"/>
      <c r="J8" s="1038"/>
      <c r="K8" s="1038"/>
      <c r="L8" s="1038"/>
      <c r="M8" s="1038"/>
      <c r="N8" s="512"/>
      <c r="O8" s="512"/>
      <c r="P8" s="512"/>
    </row>
    <row r="9" spans="1:16" ht="14.25" customHeight="1">
      <c r="A9" s="1119" t="s">
        <v>814</v>
      </c>
      <c r="B9" s="1119"/>
      <c r="C9" s="1119"/>
      <c r="D9" s="1119"/>
      <c r="E9" s="1119"/>
      <c r="F9" s="1119"/>
      <c r="G9" s="1119"/>
      <c r="H9" s="515"/>
      <c r="J9" s="1120"/>
      <c r="K9" s="1120"/>
      <c r="L9" s="1120"/>
      <c r="M9" s="1120"/>
      <c r="N9" s="512"/>
      <c r="O9" s="512"/>
      <c r="P9" s="512"/>
    </row>
    <row r="10" spans="1:16" ht="30" customHeight="1">
      <c r="A10" s="517" t="s">
        <v>815</v>
      </c>
      <c r="B10" s="1055" t="s">
        <v>816</v>
      </c>
      <c r="C10" s="1056" t="s">
        <v>125</v>
      </c>
      <c r="D10" s="1056"/>
      <c r="E10" s="1056" t="s">
        <v>126</v>
      </c>
      <c r="F10" s="1056"/>
      <c r="G10" s="1121" t="s">
        <v>817</v>
      </c>
      <c r="H10" s="512"/>
      <c r="J10" s="1122"/>
      <c r="K10" s="1122"/>
      <c r="L10" s="518"/>
      <c r="M10" s="516"/>
      <c r="N10" s="512"/>
      <c r="O10" s="512"/>
      <c r="P10" s="512"/>
    </row>
    <row r="11" spans="1:16" ht="15" customHeight="1">
      <c r="A11" s="519" t="s">
        <v>818</v>
      </c>
      <c r="B11" s="1055"/>
      <c r="C11" s="419" t="s">
        <v>38</v>
      </c>
      <c r="D11" s="420" t="s">
        <v>37</v>
      </c>
      <c r="E11" s="419" t="s">
        <v>38</v>
      </c>
      <c r="F11" s="420" t="s">
        <v>37</v>
      </c>
      <c r="G11" s="1121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727</v>
      </c>
      <c r="E12" s="423" t="s">
        <v>649</v>
      </c>
      <c r="F12" s="424" t="s">
        <v>728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819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820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821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822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823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821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822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824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825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826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827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828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829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830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831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3" t="s">
        <v>768</v>
      </c>
      <c r="B28" s="1123"/>
      <c r="C28" s="1123"/>
      <c r="D28" s="1123"/>
      <c r="E28" s="1123"/>
      <c r="F28" s="1124" t="s">
        <v>456</v>
      </c>
      <c r="G28" s="1124"/>
    </row>
    <row r="29" spans="1:7" ht="12.75" customHeight="1">
      <c r="A29" s="1125" t="s">
        <v>832</v>
      </c>
      <c r="B29" s="1125"/>
      <c r="C29" s="1125"/>
      <c r="D29" s="1125"/>
      <c r="E29" s="1125"/>
      <c r="F29" s="1126"/>
      <c r="G29" s="1126"/>
    </row>
    <row r="30" spans="1:7" s="534" customFormat="1" ht="12.75" customHeight="1" hidden="1">
      <c r="A30" s="1127" t="s">
        <v>833</v>
      </c>
      <c r="B30" s="1127"/>
      <c r="C30" s="1127"/>
      <c r="D30" s="1127"/>
      <c r="E30" s="1127"/>
      <c r="F30" s="1128"/>
      <c r="G30" s="1128"/>
    </row>
    <row r="31" spans="1:7" ht="12.75" customHeight="1">
      <c r="A31" s="1125" t="s">
        <v>834</v>
      </c>
      <c r="B31" s="1125"/>
      <c r="C31" s="1125"/>
      <c r="D31" s="1125"/>
      <c r="E31" s="1125"/>
      <c r="F31" s="1129"/>
      <c r="G31" s="1129"/>
    </row>
    <row r="32" spans="1:7" ht="13.5" customHeight="1">
      <c r="A32" s="1125" t="s">
        <v>835</v>
      </c>
      <c r="B32" s="1125"/>
      <c r="C32" s="1125"/>
      <c r="D32" s="1125"/>
      <c r="E32" s="1125"/>
      <c r="F32" s="1129"/>
      <c r="G32" s="1129"/>
    </row>
    <row r="33" spans="1:7" ht="13.5" customHeight="1">
      <c r="A33" s="1125" t="s">
        <v>836</v>
      </c>
      <c r="B33" s="1125"/>
      <c r="C33" s="1125"/>
      <c r="D33" s="1125"/>
      <c r="E33" s="1125"/>
      <c r="F33" s="1129"/>
      <c r="G33" s="1129"/>
    </row>
    <row r="34" spans="1:7" s="535" customFormat="1" ht="26.25" customHeight="1">
      <c r="A34" s="1130" t="s">
        <v>837</v>
      </c>
      <c r="B34" s="1130"/>
      <c r="C34" s="1130"/>
      <c r="D34" s="1130"/>
      <c r="E34" s="1130"/>
      <c r="F34" s="1131"/>
      <c r="G34" s="1131"/>
    </row>
    <row r="35" spans="1:7" ht="14.25" customHeight="1">
      <c r="A35" s="1132" t="s">
        <v>838</v>
      </c>
      <c r="B35" s="1132"/>
      <c r="C35" s="1132"/>
      <c r="D35" s="1132"/>
      <c r="E35" s="1132"/>
      <c r="F35" s="1133">
        <f>SUM(F29:G34)</f>
        <v>0</v>
      </c>
      <c r="G35" s="1133"/>
    </row>
    <row r="36" spans="1:7" ht="12.75" customHeight="1">
      <c r="A36" s="1132" t="s">
        <v>839</v>
      </c>
      <c r="B36" s="1132"/>
      <c r="C36" s="1132"/>
      <c r="D36" s="1132"/>
      <c r="E36" s="1132"/>
      <c r="F36" s="1133">
        <f>E27-F35</f>
        <v>0</v>
      </c>
      <c r="G36" s="1133"/>
    </row>
    <row r="37" spans="1:3" ht="12.75" customHeight="1">
      <c r="A37" s="1134" t="s">
        <v>840</v>
      </c>
      <c r="B37" s="1134"/>
      <c r="C37" s="1134"/>
    </row>
  </sheetData>
  <sheetProtection password="F3F6" sheet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10" zoomScaleNormal="110" zoomScalePageLayoutView="0" workbookViewId="0" topLeftCell="A29">
      <selection activeCell="H18" sqref="H18:I18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35" t="s">
        <v>841</v>
      </c>
      <c r="B1" s="1135"/>
      <c r="C1" s="1135"/>
      <c r="D1" s="1135"/>
      <c r="E1" s="1135"/>
      <c r="F1" s="1135"/>
      <c r="G1" s="1135"/>
      <c r="H1" s="1135"/>
      <c r="I1" s="1135"/>
      <c r="J1" s="1135"/>
      <c r="K1" s="536"/>
    </row>
    <row r="2" spans="1:11" ht="11.25" customHeight="1">
      <c r="A2" s="1136"/>
      <c r="B2" s="1136"/>
      <c r="C2" s="1136"/>
      <c r="D2" s="1136"/>
      <c r="E2" s="1136"/>
      <c r="F2" s="1136"/>
      <c r="G2" s="1136"/>
      <c r="H2" s="1136"/>
      <c r="I2" s="1136"/>
      <c r="J2" s="1136"/>
      <c r="K2" s="539"/>
    </row>
    <row r="3" spans="1:11" ht="12.75" customHeight="1">
      <c r="A3" s="1036" t="str">
        <f>'Informações Iniciais'!A1</f>
        <v>ESTADO DO MARANHÃO - MUNICÍPIO DE SÃO FRANCISCO DO BREJÃO</v>
      </c>
      <c r="B3" s="1036"/>
      <c r="C3" s="1036"/>
      <c r="D3" s="1036"/>
      <c r="E3" s="1036"/>
      <c r="F3" s="1036"/>
      <c r="G3" s="1036"/>
      <c r="H3" s="1036"/>
      <c r="I3" s="1036"/>
      <c r="J3" s="1036"/>
      <c r="K3" s="539"/>
    </row>
    <row r="4" spans="1:11" ht="12.75" customHeight="1">
      <c r="A4" s="1036" t="s">
        <v>0</v>
      </c>
      <c r="B4" s="1036"/>
      <c r="C4" s="1036"/>
      <c r="D4" s="1036"/>
      <c r="E4" s="1036"/>
      <c r="F4" s="1036"/>
      <c r="G4" s="1036"/>
      <c r="H4" s="1036"/>
      <c r="I4" s="1036"/>
      <c r="J4" s="1036"/>
      <c r="K4" s="539"/>
    </row>
    <row r="5" spans="1:11" ht="12.75" customHeight="1">
      <c r="A5" s="1137" t="s">
        <v>842</v>
      </c>
      <c r="B5" s="1137"/>
      <c r="C5" s="1137"/>
      <c r="D5" s="1137"/>
      <c r="E5" s="1137"/>
      <c r="F5" s="1137"/>
      <c r="G5" s="1137"/>
      <c r="H5" s="1137"/>
      <c r="I5" s="1137"/>
      <c r="J5" s="1137"/>
      <c r="K5" s="539"/>
    </row>
    <row r="6" spans="1:11" ht="12.75" customHeight="1">
      <c r="A6" s="1036" t="s">
        <v>28</v>
      </c>
      <c r="B6" s="1036"/>
      <c r="C6" s="1036"/>
      <c r="D6" s="1036"/>
      <c r="E6" s="1036"/>
      <c r="F6" s="1036"/>
      <c r="G6" s="1036"/>
      <c r="H6" s="1036"/>
      <c r="I6" s="1036"/>
      <c r="J6" s="1036"/>
      <c r="K6" s="539"/>
    </row>
    <row r="7" spans="1:11" ht="12.75" customHeight="1">
      <c r="A7" s="1036" t="str">
        <f>'Informações Iniciais'!A5</f>
        <v>3º Bimestre de 2018</v>
      </c>
      <c r="B7" s="1036"/>
      <c r="C7" s="1036"/>
      <c r="D7" s="1036"/>
      <c r="E7" s="1036"/>
      <c r="F7" s="1036"/>
      <c r="G7" s="1036"/>
      <c r="H7" s="1036"/>
      <c r="I7" s="1036"/>
      <c r="J7" s="1036"/>
      <c r="K7" s="539"/>
    </row>
    <row r="8" spans="1:11" ht="12.75" customHeight="1">
      <c r="A8" s="540"/>
      <c r="B8" s="1136"/>
      <c r="C8" s="1136"/>
      <c r="D8" s="540"/>
      <c r="E8" s="540"/>
      <c r="F8" s="1136"/>
      <c r="G8" s="1136"/>
      <c r="H8" s="1136"/>
      <c r="I8" s="1136"/>
      <c r="J8" s="540"/>
      <c r="K8" s="539"/>
    </row>
    <row r="9" spans="1:11" ht="12.75" customHeight="1">
      <c r="A9" s="452" t="s">
        <v>843</v>
      </c>
      <c r="B9" s="1136"/>
      <c r="C9" s="1136"/>
      <c r="D9" s="538"/>
      <c r="E9" s="538"/>
      <c r="F9" s="1136"/>
      <c r="G9" s="1136"/>
      <c r="H9" s="1136"/>
      <c r="I9" s="1136"/>
      <c r="J9" s="541" t="s">
        <v>30</v>
      </c>
      <c r="K9" s="539"/>
    </row>
    <row r="10" spans="1:11" ht="27" customHeight="1">
      <c r="A10" s="1138" t="s">
        <v>31</v>
      </c>
      <c r="B10" s="1139" t="s">
        <v>33</v>
      </c>
      <c r="C10" s="1139"/>
      <c r="D10" s="1139"/>
      <c r="E10" s="1139"/>
      <c r="F10" s="1139" t="s">
        <v>34</v>
      </c>
      <c r="G10" s="1139"/>
      <c r="H10" s="1139"/>
      <c r="I10" s="1139"/>
      <c r="J10" s="542" t="s">
        <v>844</v>
      </c>
      <c r="K10" s="1140"/>
    </row>
    <row r="11" spans="1:11" s="430" customFormat="1" ht="12.75" customHeight="1">
      <c r="A11" s="1138"/>
      <c r="B11" s="1141" t="s">
        <v>39</v>
      </c>
      <c r="C11" s="1141"/>
      <c r="D11" s="1141"/>
      <c r="E11" s="1141"/>
      <c r="F11" s="1141" t="s">
        <v>40</v>
      </c>
      <c r="G11" s="1141"/>
      <c r="H11" s="1141"/>
      <c r="I11" s="1141"/>
      <c r="J11" s="544" t="s">
        <v>845</v>
      </c>
      <c r="K11" s="1140"/>
    </row>
    <row r="12" spans="1:11" ht="12.75" customHeight="1">
      <c r="A12" s="545" t="s">
        <v>846</v>
      </c>
      <c r="B12" s="936"/>
      <c r="C12" s="936"/>
      <c r="D12" s="936"/>
      <c r="E12" s="936"/>
      <c r="F12" s="936"/>
      <c r="G12" s="936"/>
      <c r="H12" s="936"/>
      <c r="I12" s="936"/>
      <c r="J12" s="546">
        <f>B12-F12</f>
        <v>0</v>
      </c>
      <c r="K12" s="539"/>
    </row>
    <row r="13" spans="1:11" ht="12.75" customHeight="1">
      <c r="A13" s="1142"/>
      <c r="B13" s="1142"/>
      <c r="C13" s="1142"/>
      <c r="D13" s="1142"/>
      <c r="E13" s="1142"/>
      <c r="F13" s="1142"/>
      <c r="G13" s="1142"/>
      <c r="H13" s="1142"/>
      <c r="I13" s="1142"/>
      <c r="J13" s="1142"/>
      <c r="K13" s="539"/>
    </row>
    <row r="14" spans="1:11" ht="27" customHeight="1">
      <c r="A14" s="1138" t="s">
        <v>129</v>
      </c>
      <c r="B14" s="1139" t="s">
        <v>847</v>
      </c>
      <c r="C14" s="1139"/>
      <c r="D14" s="1139" t="s">
        <v>125</v>
      </c>
      <c r="E14" s="1139"/>
      <c r="F14" s="1143" t="s">
        <v>126</v>
      </c>
      <c r="G14" s="1143"/>
      <c r="H14" s="1143" t="s">
        <v>848</v>
      </c>
      <c r="I14" s="1143"/>
      <c r="J14" s="1144" t="s">
        <v>849</v>
      </c>
      <c r="K14" s="543"/>
    </row>
    <row r="15" spans="1:11" ht="27" customHeight="1">
      <c r="A15" s="1138"/>
      <c r="B15" s="1139"/>
      <c r="C15" s="1139"/>
      <c r="D15" s="1139"/>
      <c r="E15" s="1139"/>
      <c r="F15" s="1143"/>
      <c r="G15" s="1143"/>
      <c r="H15" s="1143"/>
      <c r="I15" s="1143"/>
      <c r="J15" s="1144"/>
      <c r="K15" s="1140"/>
    </row>
    <row r="16" spans="1:11" ht="12.75" customHeight="1">
      <c r="A16" s="1138"/>
      <c r="B16" s="1141" t="s">
        <v>130</v>
      </c>
      <c r="C16" s="1141"/>
      <c r="D16" s="1145" t="s">
        <v>131</v>
      </c>
      <c r="E16" s="1145"/>
      <c r="F16" s="1143"/>
      <c r="G16" s="1143"/>
      <c r="H16" s="1143"/>
      <c r="I16" s="1143"/>
      <c r="J16" s="547" t="s">
        <v>850</v>
      </c>
      <c r="K16" s="1140"/>
    </row>
    <row r="17" spans="1:11" ht="12.75" customHeight="1">
      <c r="A17" s="548" t="s">
        <v>851</v>
      </c>
      <c r="B17" s="1146">
        <v>9145663.5</v>
      </c>
      <c r="C17" s="1146"/>
      <c r="D17" s="1146">
        <v>1726930.26</v>
      </c>
      <c r="E17" s="1146"/>
      <c r="F17" s="1146">
        <v>251593.37</v>
      </c>
      <c r="G17" s="1146"/>
      <c r="H17" s="1146">
        <v>1475336.99</v>
      </c>
      <c r="I17" s="1146"/>
      <c r="J17" s="549">
        <f>B17-D17</f>
        <v>7418733.24</v>
      </c>
      <c r="K17" s="539"/>
    </row>
    <row r="18" spans="1:11" ht="12.75" customHeight="1">
      <c r="A18" s="550" t="s">
        <v>852</v>
      </c>
      <c r="B18" s="1147"/>
      <c r="C18" s="1147"/>
      <c r="D18" s="1147"/>
      <c r="E18" s="1147"/>
      <c r="F18" s="1147"/>
      <c r="G18" s="1147"/>
      <c r="H18" s="1147"/>
      <c r="I18" s="1147"/>
      <c r="J18" s="551">
        <f>B18-D18</f>
        <v>0</v>
      </c>
      <c r="K18" s="539"/>
    </row>
    <row r="19" spans="1:11" ht="25.5" customHeight="1">
      <c r="A19" s="552" t="s">
        <v>853</v>
      </c>
      <c r="B19" s="1147"/>
      <c r="C19" s="1147"/>
      <c r="D19" s="1147"/>
      <c r="E19" s="1147"/>
      <c r="F19" s="1147"/>
      <c r="G19" s="1147"/>
      <c r="H19" s="1147"/>
      <c r="I19" s="1147"/>
      <c r="J19" s="553">
        <f>B19-D19</f>
        <v>0</v>
      </c>
      <c r="K19" s="539"/>
    </row>
    <row r="20" spans="1:11" ht="12.75" customHeight="1">
      <c r="A20" s="545" t="s">
        <v>854</v>
      </c>
      <c r="B20" s="1148">
        <f>B17-ABS(B18)-ABS(B19)</f>
        <v>9145663.5</v>
      </c>
      <c r="C20" s="1148"/>
      <c r="D20" s="1148">
        <f>D17-ABS(D18)-ABS(D19)</f>
        <v>1726930.26</v>
      </c>
      <c r="E20" s="1148"/>
      <c r="F20" s="1148">
        <f>F17-ABS(F18)-ABS(F19)</f>
        <v>251593.37</v>
      </c>
      <c r="G20" s="1148"/>
      <c r="H20" s="1148">
        <f>H17-ABS(H18)-ABS(H19)</f>
        <v>1475336.99</v>
      </c>
      <c r="I20" s="1148"/>
      <c r="J20" s="549">
        <f>B20-D20</f>
        <v>7418733.24</v>
      </c>
      <c r="K20" s="539"/>
    </row>
    <row r="21" spans="1:11" ht="12.75" customHeight="1">
      <c r="A21" s="1142"/>
      <c r="B21" s="1142"/>
      <c r="C21" s="1142"/>
      <c r="D21" s="1142"/>
      <c r="E21" s="1142"/>
      <c r="F21" s="1142"/>
      <c r="G21" s="1142"/>
      <c r="H21" s="1142"/>
      <c r="I21" s="1142"/>
      <c r="J21" s="1142"/>
      <c r="K21" s="539"/>
    </row>
    <row r="22" spans="1:11" ht="12.75" customHeight="1">
      <c r="A22" s="554" t="s">
        <v>855</v>
      </c>
      <c r="B22" s="1149">
        <f>B12-B20</f>
        <v>-9145663.5</v>
      </c>
      <c r="C22" s="1149"/>
      <c r="D22" s="1150">
        <f>F12-D20</f>
        <v>-1726930.26</v>
      </c>
      <c r="E22" s="1150"/>
      <c r="F22" s="1151"/>
      <c r="G22" s="1151"/>
      <c r="H22" s="1151"/>
      <c r="I22" s="1151"/>
      <c r="J22" s="1150">
        <f>J12-J20</f>
        <v>-7418733.24</v>
      </c>
      <c r="K22" s="1140"/>
    </row>
    <row r="23" spans="1:11" ht="12.75" customHeight="1">
      <c r="A23" s="555" t="s">
        <v>856</v>
      </c>
      <c r="B23" s="1149"/>
      <c r="C23" s="1149"/>
      <c r="D23" s="1150"/>
      <c r="E23" s="1150"/>
      <c r="F23" s="1151"/>
      <c r="G23" s="1151"/>
      <c r="H23" s="1151"/>
      <c r="I23" s="1151"/>
      <c r="J23" s="1150"/>
      <c r="K23" s="1140"/>
    </row>
    <row r="24" spans="1:11" ht="12.75" customHeight="1">
      <c r="A24" s="1152" t="s">
        <v>159</v>
      </c>
      <c r="B24" s="1152"/>
      <c r="C24" s="1152"/>
      <c r="D24" s="1152"/>
      <c r="E24" s="1152"/>
      <c r="F24" s="1152"/>
      <c r="G24" s="1152"/>
      <c r="H24" s="1152"/>
      <c r="I24" s="1152"/>
      <c r="J24" s="1152"/>
      <c r="K24" s="539"/>
    </row>
    <row r="25" spans="1:11" ht="12.75" customHeight="1">
      <c r="A25" s="1153" t="s">
        <v>857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40"/>
    </row>
    <row r="26" spans="1:11" ht="12.75" customHeight="1">
      <c r="A26" s="1154" t="s">
        <v>858</v>
      </c>
      <c r="B26" s="1154"/>
      <c r="C26" s="1154"/>
      <c r="D26" s="1154"/>
      <c r="E26" s="1154"/>
      <c r="F26" s="1154"/>
      <c r="G26" s="1154"/>
      <c r="H26" s="1154"/>
      <c r="I26" s="1154"/>
      <c r="J26" s="1154"/>
      <c r="K26" s="1140"/>
    </row>
  </sheetData>
  <sheetProtection password="F3F6" sheet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859</v>
      </c>
      <c r="B1" s="557"/>
      <c r="C1" s="557"/>
    </row>
    <row r="2" spans="12:15" ht="11.25" customHeight="1">
      <c r="L2" s="1155" t="s">
        <v>860</v>
      </c>
      <c r="M2" s="1155"/>
      <c r="N2" s="1155"/>
      <c r="O2" s="1155"/>
    </row>
    <row r="3" spans="1:15" ht="11.25" customHeight="1">
      <c r="A3" s="1156" t="str">
        <f>'Informações Iniciais'!A1:B1</f>
        <v>ESTADO DO MARANHÃO - MUNICÍPIO DE SÃO FRANCISCO DO BREJÃO</v>
      </c>
      <c r="B3" s="1156"/>
      <c r="C3" s="1156"/>
      <c r="D3" s="1156"/>
      <c r="E3" s="1156"/>
      <c r="F3" s="1156"/>
      <c r="G3" s="1156"/>
      <c r="H3" s="1156"/>
      <c r="I3" s="1156"/>
      <c r="J3" s="1156"/>
      <c r="L3" s="1155"/>
      <c r="M3" s="1155"/>
      <c r="N3" s="1155"/>
      <c r="O3" s="1155"/>
    </row>
    <row r="4" spans="1:10" ht="11.25" customHeight="1">
      <c r="A4" s="1156" t="s">
        <v>0</v>
      </c>
      <c r="B4" s="1156"/>
      <c r="C4" s="1156"/>
      <c r="D4" s="1156"/>
      <c r="E4" s="1156"/>
      <c r="F4" s="1156"/>
      <c r="G4" s="1156"/>
      <c r="H4" s="1156"/>
      <c r="I4" s="1156"/>
      <c r="J4" s="1156"/>
    </row>
    <row r="5" spans="1:20" ht="11.25" customHeight="1">
      <c r="A5" s="1157" t="s">
        <v>861</v>
      </c>
      <c r="B5" s="1157"/>
      <c r="C5" s="1157"/>
      <c r="D5" s="1157"/>
      <c r="E5" s="1157"/>
      <c r="F5" s="1157"/>
      <c r="G5" s="1157"/>
      <c r="H5" s="1157"/>
      <c r="I5" s="1157"/>
      <c r="J5" s="1157"/>
      <c r="L5" s="1158" t="s">
        <v>862</v>
      </c>
      <c r="M5" s="1158"/>
      <c r="N5" s="1158"/>
      <c r="O5" s="1158"/>
      <c r="P5" s="558"/>
      <c r="Q5" s="558"/>
      <c r="R5" s="558"/>
      <c r="S5" s="558"/>
      <c r="T5" s="558"/>
    </row>
    <row r="6" spans="1:20" ht="11.25" customHeight="1">
      <c r="A6" s="1156" t="s">
        <v>407</v>
      </c>
      <c r="B6" s="1156"/>
      <c r="C6" s="1156"/>
      <c r="D6" s="1156"/>
      <c r="E6" s="1156"/>
      <c r="F6" s="1156"/>
      <c r="G6" s="1156"/>
      <c r="H6" s="1156"/>
      <c r="I6" s="1156"/>
      <c r="J6" s="1156"/>
      <c r="L6" s="1158"/>
      <c r="M6" s="1158"/>
      <c r="N6" s="1158"/>
      <c r="O6" s="1158"/>
      <c r="P6" s="558"/>
      <c r="Q6" s="558"/>
      <c r="R6" s="558"/>
      <c r="S6" s="558"/>
      <c r="T6" s="558"/>
    </row>
    <row r="7" spans="1:20" ht="11.25" customHeight="1">
      <c r="A7" s="1156" t="str">
        <f>'Informações Iniciais'!A5:B5</f>
        <v>3º Bimestre de 2018</v>
      </c>
      <c r="B7" s="1156"/>
      <c r="C7" s="1156"/>
      <c r="D7" s="1156"/>
      <c r="E7" s="1156"/>
      <c r="F7" s="1156"/>
      <c r="G7" s="1156"/>
      <c r="H7" s="1156"/>
      <c r="I7" s="1156"/>
      <c r="J7" s="1156"/>
      <c r="L7" s="1158"/>
      <c r="M7" s="1158"/>
      <c r="N7" s="1158"/>
      <c r="O7" s="1158"/>
      <c r="P7" s="558"/>
      <c r="Q7" s="558"/>
      <c r="R7" s="558"/>
      <c r="S7" s="558"/>
      <c r="T7" s="558"/>
    </row>
    <row r="8" spans="12:20" ht="11.25" customHeight="1">
      <c r="L8" s="1158"/>
      <c r="M8" s="1158"/>
      <c r="N8" s="1158"/>
      <c r="O8" s="1158"/>
      <c r="P8" s="558"/>
      <c r="Q8" s="558"/>
      <c r="R8" s="558"/>
      <c r="S8" s="558"/>
      <c r="T8" s="558"/>
    </row>
    <row r="9" spans="1:20" ht="11.25" customHeight="1">
      <c r="A9" s="556" t="s">
        <v>863</v>
      </c>
      <c r="D9" s="559"/>
      <c r="E9" s="1159"/>
      <c r="F9" s="1159"/>
      <c r="G9" s="559"/>
      <c r="J9" s="560" t="s">
        <v>30</v>
      </c>
      <c r="L9" s="1158"/>
      <c r="M9" s="1158"/>
      <c r="N9" s="1158"/>
      <c r="O9" s="1158"/>
      <c r="P9" s="558"/>
      <c r="Q9" s="558"/>
      <c r="R9" s="558"/>
      <c r="S9" s="558"/>
      <c r="T9" s="558"/>
    </row>
    <row r="10" spans="1:20" ht="15" customHeight="1">
      <c r="A10" s="1160" t="s">
        <v>864</v>
      </c>
      <c r="B10" s="1160"/>
      <c r="C10" s="1160"/>
      <c r="D10" s="1161" t="s">
        <v>865</v>
      </c>
      <c r="E10" s="1161"/>
      <c r="F10" s="1161" t="s">
        <v>129</v>
      </c>
      <c r="G10" s="1161"/>
      <c r="H10" s="1161" t="s">
        <v>866</v>
      </c>
      <c r="I10" s="1161"/>
      <c r="J10" s="561" t="s">
        <v>867</v>
      </c>
      <c r="L10" s="1158"/>
      <c r="M10" s="1158"/>
      <c r="N10" s="1158"/>
      <c r="O10" s="1158"/>
      <c r="P10" s="558"/>
      <c r="Q10" s="558"/>
      <c r="R10" s="558"/>
      <c r="S10" s="558"/>
      <c r="T10" s="558"/>
    </row>
    <row r="11" spans="1:20" ht="15" customHeight="1">
      <c r="A11" s="1160"/>
      <c r="B11" s="1160"/>
      <c r="C11" s="1160"/>
      <c r="D11" s="1162" t="s">
        <v>868</v>
      </c>
      <c r="E11" s="1162"/>
      <c r="F11" s="1162" t="s">
        <v>868</v>
      </c>
      <c r="G11" s="1162"/>
      <c r="H11" s="1162" t="s">
        <v>869</v>
      </c>
      <c r="I11" s="1162"/>
      <c r="J11" s="562" t="s">
        <v>870</v>
      </c>
      <c r="L11" s="1158"/>
      <c r="M11" s="1158"/>
      <c r="N11" s="1158"/>
      <c r="O11" s="1158"/>
      <c r="P11" s="558"/>
      <c r="Q11" s="558"/>
      <c r="R11" s="558"/>
      <c r="S11" s="558"/>
      <c r="T11" s="558"/>
    </row>
    <row r="12" spans="1:15" ht="19.5" customHeight="1">
      <c r="A12" s="1160"/>
      <c r="B12" s="1160"/>
      <c r="C12" s="1160"/>
      <c r="D12" s="1163" t="s">
        <v>39</v>
      </c>
      <c r="E12" s="1163"/>
      <c r="F12" s="1163" t="s">
        <v>40</v>
      </c>
      <c r="G12" s="1163"/>
      <c r="H12" s="1163" t="s">
        <v>871</v>
      </c>
      <c r="I12" s="1163"/>
      <c r="J12" s="563" t="s">
        <v>872</v>
      </c>
      <c r="L12" s="1158"/>
      <c r="M12" s="1158"/>
      <c r="N12" s="1158"/>
      <c r="O12" s="1158"/>
    </row>
    <row r="13" spans="1:15" ht="11.25" customHeight="1">
      <c r="A13" s="1164">
        <v>2016</v>
      </c>
      <c r="B13" s="1164"/>
      <c r="C13" s="1164"/>
      <c r="D13" s="1165"/>
      <c r="E13" s="1165"/>
      <c r="F13" s="1165"/>
      <c r="G13" s="1165"/>
      <c r="H13" s="1166">
        <f aca="true" t="shared" si="0" ref="H13:H89">D13-F13</f>
        <v>0</v>
      </c>
      <c r="I13" s="1166"/>
      <c r="J13" s="565"/>
      <c r="L13" s="1158"/>
      <c r="M13" s="1158"/>
      <c r="N13" s="1158"/>
      <c r="O13" s="1158"/>
    </row>
    <row r="14" spans="1:15" ht="11.25" customHeight="1">
      <c r="A14" s="1167">
        <v>2017</v>
      </c>
      <c r="B14" s="1167"/>
      <c r="C14" s="1167"/>
      <c r="D14" s="1168"/>
      <c r="E14" s="1168"/>
      <c r="F14" s="1168"/>
      <c r="G14" s="1168"/>
      <c r="H14" s="1169">
        <f t="shared" si="0"/>
        <v>0</v>
      </c>
      <c r="I14" s="1169"/>
      <c r="J14" s="567">
        <f aca="true" t="shared" si="1" ref="J14:J89">J13+H14</f>
        <v>0</v>
      </c>
      <c r="L14" s="1158"/>
      <c r="M14" s="1158"/>
      <c r="N14" s="1158"/>
      <c r="O14" s="1158"/>
    </row>
    <row r="15" spans="1:15" ht="11.25" customHeight="1">
      <c r="A15" s="1167">
        <v>2018</v>
      </c>
      <c r="B15" s="1167"/>
      <c r="C15" s="1167"/>
      <c r="D15" s="1168"/>
      <c r="E15" s="1168"/>
      <c r="F15" s="1170"/>
      <c r="G15" s="1170"/>
      <c r="H15" s="1169">
        <f t="shared" si="0"/>
        <v>0</v>
      </c>
      <c r="I15" s="1169"/>
      <c r="J15" s="567">
        <f t="shared" si="1"/>
        <v>0</v>
      </c>
      <c r="L15" s="1158"/>
      <c r="M15" s="1158"/>
      <c r="N15" s="1158"/>
      <c r="O15" s="1158"/>
    </row>
    <row r="16" spans="1:15" ht="11.25" customHeight="1">
      <c r="A16" s="1167">
        <v>2019</v>
      </c>
      <c r="B16" s="1167"/>
      <c r="C16" s="1167"/>
      <c r="D16" s="1168"/>
      <c r="E16" s="1168"/>
      <c r="F16" s="1170"/>
      <c r="G16" s="1170"/>
      <c r="H16" s="1169">
        <f t="shared" si="0"/>
        <v>0</v>
      </c>
      <c r="I16" s="1169"/>
      <c r="J16" s="567">
        <f t="shared" si="1"/>
        <v>0</v>
      </c>
      <c r="L16" s="1158"/>
      <c r="M16" s="1158"/>
      <c r="N16" s="1158"/>
      <c r="O16" s="1158"/>
    </row>
    <row r="17" spans="1:20" ht="15.75" customHeight="1">
      <c r="A17" s="1167">
        <v>2020</v>
      </c>
      <c r="B17" s="1167"/>
      <c r="C17" s="1167"/>
      <c r="D17" s="1168"/>
      <c r="E17" s="1168"/>
      <c r="F17" s="1168"/>
      <c r="G17" s="1168"/>
      <c r="H17" s="1169">
        <f t="shared" si="0"/>
        <v>0</v>
      </c>
      <c r="I17" s="1169"/>
      <c r="J17" s="567">
        <f t="shared" si="1"/>
        <v>0</v>
      </c>
      <c r="L17" s="1158"/>
      <c r="M17" s="1158"/>
      <c r="N17" s="1158"/>
      <c r="O17" s="1158"/>
      <c r="P17" s="558"/>
      <c r="Q17" s="558"/>
      <c r="R17" s="558"/>
      <c r="S17" s="558"/>
      <c r="T17" s="558"/>
    </row>
    <row r="18" spans="1:20" ht="15.75" customHeight="1">
      <c r="A18" s="1167">
        <v>2021</v>
      </c>
      <c r="B18" s="1167"/>
      <c r="C18" s="1167"/>
      <c r="D18" s="1168"/>
      <c r="E18" s="1168"/>
      <c r="F18" s="1168"/>
      <c r="G18" s="1168"/>
      <c r="H18" s="1169">
        <f t="shared" si="0"/>
        <v>0</v>
      </c>
      <c r="I18" s="1169"/>
      <c r="J18" s="567">
        <f t="shared" si="1"/>
        <v>0</v>
      </c>
      <c r="L18" s="1158"/>
      <c r="M18" s="1158"/>
      <c r="N18" s="1158"/>
      <c r="O18" s="1158"/>
      <c r="P18" s="558"/>
      <c r="Q18" s="558"/>
      <c r="R18" s="558"/>
      <c r="S18" s="558"/>
      <c r="T18" s="558"/>
    </row>
    <row r="19" spans="1:20" ht="15.75" customHeight="1">
      <c r="A19" s="1167">
        <v>2022</v>
      </c>
      <c r="B19" s="1167"/>
      <c r="C19" s="1167"/>
      <c r="D19" s="1168"/>
      <c r="E19" s="1168"/>
      <c r="F19" s="1168"/>
      <c r="G19" s="1168"/>
      <c r="H19" s="1169">
        <f t="shared" si="0"/>
        <v>0</v>
      </c>
      <c r="I19" s="1169"/>
      <c r="J19" s="567">
        <f t="shared" si="1"/>
        <v>0</v>
      </c>
      <c r="L19" s="1158"/>
      <c r="M19" s="1158"/>
      <c r="N19" s="1158"/>
      <c r="O19" s="1158"/>
      <c r="P19" s="558"/>
      <c r="Q19" s="558"/>
      <c r="R19" s="558"/>
      <c r="S19" s="558"/>
      <c r="T19" s="558"/>
    </row>
    <row r="20" spans="1:20" ht="15.75" customHeight="1">
      <c r="A20" s="1167">
        <v>2023</v>
      </c>
      <c r="B20" s="1167"/>
      <c r="C20" s="1167"/>
      <c r="D20" s="1168"/>
      <c r="E20" s="1168"/>
      <c r="F20" s="1168"/>
      <c r="G20" s="1168"/>
      <c r="H20" s="1169">
        <f t="shared" si="0"/>
        <v>0</v>
      </c>
      <c r="I20" s="1169"/>
      <c r="J20" s="567">
        <f t="shared" si="1"/>
        <v>0</v>
      </c>
      <c r="L20" s="1158"/>
      <c r="M20" s="1158"/>
      <c r="N20" s="1158"/>
      <c r="O20" s="1158"/>
      <c r="P20" s="558"/>
      <c r="Q20" s="558"/>
      <c r="R20" s="558"/>
      <c r="S20" s="558"/>
      <c r="T20" s="558"/>
    </row>
    <row r="21" spans="1:20" ht="15.75" customHeight="1">
      <c r="A21" s="1167">
        <v>2024</v>
      </c>
      <c r="B21" s="1167"/>
      <c r="C21" s="1167"/>
      <c r="D21" s="1168"/>
      <c r="E21" s="1168"/>
      <c r="F21" s="1168"/>
      <c r="G21" s="1168"/>
      <c r="H21" s="1169">
        <f t="shared" si="0"/>
        <v>0</v>
      </c>
      <c r="I21" s="1169"/>
      <c r="J21" s="567">
        <f t="shared" si="1"/>
        <v>0</v>
      </c>
      <c r="L21" s="1158"/>
      <c r="M21" s="1158"/>
      <c r="N21" s="1158"/>
      <c r="O21" s="1158"/>
      <c r="P21" s="558"/>
      <c r="Q21" s="558"/>
      <c r="R21" s="558"/>
      <c r="S21" s="558"/>
      <c r="T21" s="558"/>
    </row>
    <row r="22" spans="1:20" ht="15.75" customHeight="1">
      <c r="A22" s="1167">
        <v>2025</v>
      </c>
      <c r="B22" s="1167"/>
      <c r="C22" s="1167"/>
      <c r="D22" s="1168"/>
      <c r="E22" s="1168"/>
      <c r="F22" s="1168"/>
      <c r="G22" s="1168"/>
      <c r="H22" s="1169">
        <f t="shared" si="0"/>
        <v>0</v>
      </c>
      <c r="I22" s="1169"/>
      <c r="J22" s="567">
        <f t="shared" si="1"/>
        <v>0</v>
      </c>
      <c r="L22" s="1158"/>
      <c r="M22" s="1158"/>
      <c r="N22" s="1158"/>
      <c r="O22" s="1158"/>
      <c r="P22" s="558"/>
      <c r="Q22" s="558"/>
      <c r="R22" s="558"/>
      <c r="S22" s="558"/>
      <c r="T22" s="558"/>
    </row>
    <row r="23" spans="1:20" ht="15.75" customHeight="1">
      <c r="A23" s="1167">
        <v>2026</v>
      </c>
      <c r="B23" s="1167"/>
      <c r="C23" s="1167"/>
      <c r="D23" s="1168"/>
      <c r="E23" s="1168"/>
      <c r="F23" s="1168"/>
      <c r="G23" s="1168"/>
      <c r="H23" s="1169">
        <f t="shared" si="0"/>
        <v>0</v>
      </c>
      <c r="I23" s="1169"/>
      <c r="J23" s="567">
        <f t="shared" si="1"/>
        <v>0</v>
      </c>
      <c r="L23" s="1158"/>
      <c r="M23" s="1158"/>
      <c r="N23" s="1158"/>
      <c r="O23" s="1158"/>
      <c r="P23" s="558"/>
      <c r="Q23" s="558"/>
      <c r="R23" s="558"/>
      <c r="S23" s="558"/>
      <c r="T23" s="558"/>
    </row>
    <row r="24" spans="1:20" ht="15.75" customHeight="1">
      <c r="A24" s="1167">
        <v>2027</v>
      </c>
      <c r="B24" s="1167"/>
      <c r="C24" s="1167"/>
      <c r="D24" s="1168"/>
      <c r="E24" s="1168"/>
      <c r="F24" s="1168"/>
      <c r="G24" s="1168"/>
      <c r="H24" s="1169">
        <f t="shared" si="0"/>
        <v>0</v>
      </c>
      <c r="I24" s="1169"/>
      <c r="J24" s="567">
        <f t="shared" si="1"/>
        <v>0</v>
      </c>
      <c r="L24" s="1158"/>
      <c r="M24" s="1158"/>
      <c r="N24" s="1158"/>
      <c r="O24" s="1158"/>
      <c r="P24" s="558"/>
      <c r="Q24" s="558"/>
      <c r="R24" s="558"/>
      <c r="S24" s="558"/>
      <c r="T24" s="558"/>
    </row>
    <row r="25" spans="1:20" ht="15.75" customHeight="1">
      <c r="A25" s="1167">
        <v>2028</v>
      </c>
      <c r="B25" s="1167"/>
      <c r="C25" s="1167"/>
      <c r="D25" s="1168"/>
      <c r="E25" s="1168"/>
      <c r="F25" s="1168"/>
      <c r="G25" s="1168"/>
      <c r="H25" s="1169">
        <f t="shared" si="0"/>
        <v>0</v>
      </c>
      <c r="I25" s="1169"/>
      <c r="J25" s="567">
        <f t="shared" si="1"/>
        <v>0</v>
      </c>
      <c r="L25" s="1158"/>
      <c r="M25" s="1158"/>
      <c r="N25" s="1158"/>
      <c r="O25" s="1158"/>
      <c r="P25" s="558"/>
      <c r="Q25" s="558"/>
      <c r="R25" s="558"/>
      <c r="S25" s="558"/>
      <c r="T25" s="558"/>
    </row>
    <row r="26" spans="1:20" ht="15.75" customHeight="1">
      <c r="A26" s="1167">
        <v>2029</v>
      </c>
      <c r="B26" s="1167"/>
      <c r="C26" s="1167"/>
      <c r="D26" s="1168"/>
      <c r="E26" s="1168"/>
      <c r="F26" s="1168"/>
      <c r="G26" s="1168"/>
      <c r="H26" s="1169">
        <f t="shared" si="0"/>
        <v>0</v>
      </c>
      <c r="I26" s="1169"/>
      <c r="J26" s="567">
        <f t="shared" si="1"/>
        <v>0</v>
      </c>
      <c r="L26" s="1158"/>
      <c r="M26" s="1158"/>
      <c r="N26" s="1158"/>
      <c r="O26" s="1158"/>
      <c r="P26" s="558"/>
      <c r="Q26" s="558"/>
      <c r="R26" s="558"/>
      <c r="S26" s="558"/>
      <c r="T26" s="558"/>
    </row>
    <row r="27" spans="1:20" ht="15.75" customHeight="1">
      <c r="A27" s="1167">
        <v>2030</v>
      </c>
      <c r="B27" s="1167"/>
      <c r="C27" s="1167"/>
      <c r="D27" s="1168"/>
      <c r="E27" s="1168"/>
      <c r="F27" s="1168"/>
      <c r="G27" s="1168"/>
      <c r="H27" s="1169">
        <f t="shared" si="0"/>
        <v>0</v>
      </c>
      <c r="I27" s="1169"/>
      <c r="J27" s="567">
        <f t="shared" si="1"/>
        <v>0</v>
      </c>
      <c r="L27" s="1158"/>
      <c r="M27" s="1158"/>
      <c r="N27" s="1158"/>
      <c r="O27" s="1158"/>
      <c r="P27" s="558"/>
      <c r="Q27" s="558"/>
      <c r="R27" s="558"/>
      <c r="S27" s="558"/>
      <c r="T27" s="558"/>
    </row>
    <row r="28" spans="1:20" ht="15.75" customHeight="1">
      <c r="A28" s="1167">
        <v>2031</v>
      </c>
      <c r="B28" s="1167"/>
      <c r="C28" s="1167"/>
      <c r="D28" s="1168"/>
      <c r="E28" s="1168"/>
      <c r="F28" s="1168"/>
      <c r="G28" s="1168"/>
      <c r="H28" s="1169">
        <f t="shared" si="0"/>
        <v>0</v>
      </c>
      <c r="I28" s="1169"/>
      <c r="J28" s="567">
        <f t="shared" si="1"/>
        <v>0</v>
      </c>
      <c r="L28" s="1158"/>
      <c r="M28" s="1158"/>
      <c r="N28" s="1158"/>
      <c r="O28" s="1158"/>
      <c r="P28" s="558"/>
      <c r="Q28" s="558"/>
      <c r="R28" s="558"/>
      <c r="S28" s="558"/>
      <c r="T28" s="558"/>
    </row>
    <row r="29" spans="1:20" ht="15.75" customHeight="1">
      <c r="A29" s="1167">
        <v>2032</v>
      </c>
      <c r="B29" s="1167"/>
      <c r="C29" s="1167"/>
      <c r="D29" s="1168"/>
      <c r="E29" s="1168"/>
      <c r="F29" s="1168"/>
      <c r="G29" s="1168"/>
      <c r="H29" s="1169">
        <f t="shared" si="0"/>
        <v>0</v>
      </c>
      <c r="I29" s="1169"/>
      <c r="J29" s="567">
        <f t="shared" si="1"/>
        <v>0</v>
      </c>
      <c r="L29" s="1158"/>
      <c r="M29" s="1158"/>
      <c r="N29" s="1158"/>
      <c r="O29" s="1158"/>
      <c r="P29" s="558"/>
      <c r="Q29" s="558"/>
      <c r="R29" s="558"/>
      <c r="S29" s="558"/>
      <c r="T29" s="558"/>
    </row>
    <row r="30" spans="1:20" ht="15.75" customHeight="1">
      <c r="A30" s="1167">
        <v>2033</v>
      </c>
      <c r="B30" s="1167"/>
      <c r="C30" s="1167"/>
      <c r="D30" s="1168"/>
      <c r="E30" s="1168"/>
      <c r="F30" s="1168"/>
      <c r="G30" s="1168"/>
      <c r="H30" s="1169">
        <f t="shared" si="0"/>
        <v>0</v>
      </c>
      <c r="I30" s="1169"/>
      <c r="J30" s="567">
        <f t="shared" si="1"/>
        <v>0</v>
      </c>
      <c r="L30" s="1158"/>
      <c r="M30" s="1158"/>
      <c r="N30" s="1158"/>
      <c r="O30" s="1158"/>
      <c r="P30" s="558"/>
      <c r="Q30" s="558"/>
      <c r="R30" s="558"/>
      <c r="S30" s="558"/>
      <c r="T30" s="558"/>
    </row>
    <row r="31" spans="1:20" ht="15.75" customHeight="1">
      <c r="A31" s="1167">
        <v>2034</v>
      </c>
      <c r="B31" s="1167"/>
      <c r="C31" s="1167"/>
      <c r="D31" s="1168"/>
      <c r="E31" s="1168"/>
      <c r="F31" s="1168"/>
      <c r="G31" s="1168"/>
      <c r="H31" s="1169">
        <f t="shared" si="0"/>
        <v>0</v>
      </c>
      <c r="I31" s="1169"/>
      <c r="J31" s="567">
        <f t="shared" si="1"/>
        <v>0</v>
      </c>
      <c r="L31" s="1158"/>
      <c r="M31" s="1158"/>
      <c r="N31" s="1158"/>
      <c r="O31" s="1158"/>
      <c r="P31" s="558"/>
      <c r="Q31" s="558"/>
      <c r="R31" s="558"/>
      <c r="S31" s="558"/>
      <c r="T31" s="558"/>
    </row>
    <row r="32" spans="1:20" ht="15.75" customHeight="1">
      <c r="A32" s="1167">
        <v>2035</v>
      </c>
      <c r="B32" s="1167"/>
      <c r="C32" s="1167"/>
      <c r="D32" s="1168"/>
      <c r="E32" s="1168"/>
      <c r="F32" s="1168"/>
      <c r="G32" s="1168"/>
      <c r="H32" s="1169">
        <f t="shared" si="0"/>
        <v>0</v>
      </c>
      <c r="I32" s="1169"/>
      <c r="J32" s="567">
        <f t="shared" si="1"/>
        <v>0</v>
      </c>
      <c r="L32" s="1158"/>
      <c r="M32" s="1158"/>
      <c r="N32" s="1158"/>
      <c r="O32" s="1158"/>
      <c r="P32" s="558"/>
      <c r="Q32" s="558"/>
      <c r="R32" s="558"/>
      <c r="S32" s="558"/>
      <c r="T32" s="558"/>
    </row>
    <row r="33" spans="1:20" ht="15.75" customHeight="1">
      <c r="A33" s="1167">
        <v>2036</v>
      </c>
      <c r="B33" s="1167"/>
      <c r="C33" s="1167"/>
      <c r="D33" s="1168"/>
      <c r="E33" s="1168"/>
      <c r="F33" s="1168"/>
      <c r="G33" s="1168"/>
      <c r="H33" s="1169">
        <f t="shared" si="0"/>
        <v>0</v>
      </c>
      <c r="I33" s="1169"/>
      <c r="J33" s="567">
        <f t="shared" si="1"/>
        <v>0</v>
      </c>
      <c r="L33" s="1158"/>
      <c r="M33" s="1158"/>
      <c r="N33" s="1158"/>
      <c r="O33" s="1158"/>
      <c r="P33" s="558"/>
      <c r="Q33" s="558"/>
      <c r="R33" s="558"/>
      <c r="S33" s="558"/>
      <c r="T33" s="558"/>
    </row>
    <row r="34" spans="1:20" ht="15.75" customHeight="1">
      <c r="A34" s="1167">
        <v>2037</v>
      </c>
      <c r="B34" s="1167"/>
      <c r="C34" s="1167"/>
      <c r="D34" s="1168"/>
      <c r="E34" s="1168"/>
      <c r="F34" s="1168"/>
      <c r="G34" s="1168"/>
      <c r="H34" s="1169">
        <f t="shared" si="0"/>
        <v>0</v>
      </c>
      <c r="I34" s="1169"/>
      <c r="J34" s="567">
        <f t="shared" si="1"/>
        <v>0</v>
      </c>
      <c r="L34" s="1158"/>
      <c r="M34" s="1158"/>
      <c r="N34" s="1158"/>
      <c r="O34" s="1158"/>
      <c r="P34" s="558"/>
      <c r="Q34" s="558"/>
      <c r="R34" s="558"/>
      <c r="S34" s="558"/>
      <c r="T34" s="558"/>
    </row>
    <row r="35" spans="1:20" ht="15.75" customHeight="1">
      <c r="A35" s="1167">
        <v>2038</v>
      </c>
      <c r="B35" s="1167"/>
      <c r="C35" s="1167"/>
      <c r="D35" s="1168"/>
      <c r="E35" s="1168"/>
      <c r="F35" s="1168"/>
      <c r="G35" s="1168"/>
      <c r="H35" s="1169">
        <f t="shared" si="0"/>
        <v>0</v>
      </c>
      <c r="I35" s="1169"/>
      <c r="J35" s="567">
        <f t="shared" si="1"/>
        <v>0</v>
      </c>
      <c r="L35" s="1158"/>
      <c r="M35" s="1158"/>
      <c r="N35" s="1158"/>
      <c r="O35" s="1158"/>
      <c r="P35" s="558"/>
      <c r="Q35" s="558"/>
      <c r="R35" s="558"/>
      <c r="S35" s="558"/>
      <c r="T35" s="558"/>
    </row>
    <row r="36" spans="1:20" ht="15.75" customHeight="1">
      <c r="A36" s="1167">
        <v>2039</v>
      </c>
      <c r="B36" s="1167"/>
      <c r="C36" s="1167"/>
      <c r="D36" s="1168"/>
      <c r="E36" s="1168"/>
      <c r="F36" s="1168"/>
      <c r="G36" s="1168"/>
      <c r="H36" s="1169">
        <f t="shared" si="0"/>
        <v>0</v>
      </c>
      <c r="I36" s="1169"/>
      <c r="J36" s="567">
        <f t="shared" si="1"/>
        <v>0</v>
      </c>
      <c r="L36" s="1158"/>
      <c r="M36" s="1158"/>
      <c r="N36" s="1158"/>
      <c r="O36" s="1158"/>
      <c r="P36" s="558"/>
      <c r="Q36" s="558"/>
      <c r="R36" s="558"/>
      <c r="S36" s="558"/>
      <c r="T36" s="558"/>
    </row>
    <row r="37" spans="1:20" ht="15.75" customHeight="1">
      <c r="A37" s="1167">
        <v>2040</v>
      </c>
      <c r="B37" s="1167"/>
      <c r="C37" s="1167"/>
      <c r="D37" s="1168"/>
      <c r="E37" s="1168"/>
      <c r="F37" s="1168"/>
      <c r="G37" s="1168"/>
      <c r="H37" s="1169">
        <f t="shared" si="0"/>
        <v>0</v>
      </c>
      <c r="I37" s="1169"/>
      <c r="J37" s="567">
        <f t="shared" si="1"/>
        <v>0</v>
      </c>
      <c r="L37" s="1158"/>
      <c r="M37" s="1158"/>
      <c r="N37" s="1158"/>
      <c r="O37" s="1158"/>
      <c r="P37" s="558"/>
      <c r="Q37" s="558"/>
      <c r="R37" s="558"/>
      <c r="S37" s="558"/>
      <c r="T37" s="558"/>
    </row>
    <row r="38" spans="1:20" ht="15.75" customHeight="1">
      <c r="A38" s="1167">
        <v>2041</v>
      </c>
      <c r="B38" s="1167"/>
      <c r="C38" s="1167"/>
      <c r="D38" s="1168"/>
      <c r="E38" s="1168"/>
      <c r="F38" s="1168"/>
      <c r="G38" s="1168"/>
      <c r="H38" s="1169">
        <f t="shared" si="0"/>
        <v>0</v>
      </c>
      <c r="I38" s="1169"/>
      <c r="J38" s="567">
        <f t="shared" si="1"/>
        <v>0</v>
      </c>
      <c r="L38" s="1158"/>
      <c r="M38" s="1158"/>
      <c r="N38" s="1158"/>
      <c r="O38" s="1158"/>
      <c r="P38" s="558"/>
      <c r="Q38" s="558"/>
      <c r="R38" s="558"/>
      <c r="S38" s="558"/>
      <c r="T38" s="558"/>
    </row>
    <row r="39" spans="1:20" ht="15.75" customHeight="1">
      <c r="A39" s="1167">
        <v>2042</v>
      </c>
      <c r="B39" s="1167"/>
      <c r="C39" s="1167"/>
      <c r="D39" s="1168"/>
      <c r="E39" s="1168"/>
      <c r="F39" s="1168"/>
      <c r="G39" s="1168"/>
      <c r="H39" s="1169">
        <f t="shared" si="0"/>
        <v>0</v>
      </c>
      <c r="I39" s="1169"/>
      <c r="J39" s="567">
        <f t="shared" si="1"/>
        <v>0</v>
      </c>
      <c r="L39" s="1158"/>
      <c r="M39" s="1158"/>
      <c r="N39" s="1158"/>
      <c r="O39" s="1158"/>
      <c r="P39" s="558"/>
      <c r="Q39" s="558"/>
      <c r="R39" s="558"/>
      <c r="S39" s="558"/>
      <c r="T39" s="558"/>
    </row>
    <row r="40" spans="1:20" ht="15.75" customHeight="1">
      <c r="A40" s="1167">
        <v>2043</v>
      </c>
      <c r="B40" s="1167"/>
      <c r="C40" s="1167"/>
      <c r="D40" s="1168"/>
      <c r="E40" s="1168"/>
      <c r="F40" s="1168"/>
      <c r="G40" s="1168"/>
      <c r="H40" s="1169">
        <f t="shared" si="0"/>
        <v>0</v>
      </c>
      <c r="I40" s="1169"/>
      <c r="J40" s="567">
        <f t="shared" si="1"/>
        <v>0</v>
      </c>
      <c r="L40" s="1158"/>
      <c r="M40" s="1158"/>
      <c r="N40" s="1158"/>
      <c r="O40" s="1158"/>
      <c r="P40" s="558"/>
      <c r="Q40" s="558"/>
      <c r="R40" s="558"/>
      <c r="S40" s="558"/>
      <c r="T40" s="558"/>
    </row>
    <row r="41" spans="1:20" ht="15.75" customHeight="1">
      <c r="A41" s="1167">
        <v>2044</v>
      </c>
      <c r="B41" s="1167"/>
      <c r="C41" s="1167"/>
      <c r="D41" s="1168"/>
      <c r="E41" s="1168"/>
      <c r="F41" s="1168"/>
      <c r="G41" s="1168"/>
      <c r="H41" s="1169">
        <f t="shared" si="0"/>
        <v>0</v>
      </c>
      <c r="I41" s="1169"/>
      <c r="J41" s="567">
        <f t="shared" si="1"/>
        <v>0</v>
      </c>
      <c r="L41" s="1158"/>
      <c r="M41" s="1158"/>
      <c r="N41" s="1158"/>
      <c r="O41" s="1158"/>
      <c r="P41" s="558"/>
      <c r="Q41" s="558"/>
      <c r="R41" s="558"/>
      <c r="S41" s="558"/>
      <c r="T41" s="558"/>
    </row>
    <row r="42" spans="1:20" ht="15.75" customHeight="1">
      <c r="A42" s="1167">
        <v>2045</v>
      </c>
      <c r="B42" s="1167"/>
      <c r="C42" s="1167"/>
      <c r="D42" s="1168"/>
      <c r="E42" s="1168"/>
      <c r="F42" s="1168"/>
      <c r="G42" s="1168"/>
      <c r="H42" s="1169">
        <f t="shared" si="0"/>
        <v>0</v>
      </c>
      <c r="I42" s="1169"/>
      <c r="J42" s="567">
        <f t="shared" si="1"/>
        <v>0</v>
      </c>
      <c r="L42" s="1158"/>
      <c r="M42" s="1158"/>
      <c r="N42" s="1158"/>
      <c r="O42" s="1158"/>
      <c r="P42" s="558"/>
      <c r="Q42" s="558"/>
      <c r="R42" s="558"/>
      <c r="S42" s="558"/>
      <c r="T42" s="558"/>
    </row>
    <row r="43" spans="1:20" ht="15.75" customHeight="1">
      <c r="A43" s="1167">
        <v>2046</v>
      </c>
      <c r="B43" s="1167"/>
      <c r="C43" s="1167"/>
      <c r="D43" s="1168"/>
      <c r="E43" s="1168"/>
      <c r="F43" s="1168"/>
      <c r="G43" s="1168"/>
      <c r="H43" s="1169">
        <f t="shared" si="0"/>
        <v>0</v>
      </c>
      <c r="I43" s="1169"/>
      <c r="J43" s="567">
        <f t="shared" si="1"/>
        <v>0</v>
      </c>
      <c r="L43" s="1158"/>
      <c r="M43" s="1158"/>
      <c r="N43" s="1158"/>
      <c r="O43" s="1158"/>
      <c r="P43" s="558"/>
      <c r="Q43" s="558"/>
      <c r="R43" s="558"/>
      <c r="S43" s="558"/>
      <c r="T43" s="558"/>
    </row>
    <row r="44" spans="1:20" ht="15.75" customHeight="1">
      <c r="A44" s="1167">
        <v>2047</v>
      </c>
      <c r="B44" s="1167"/>
      <c r="C44" s="1167"/>
      <c r="D44" s="1168"/>
      <c r="E44" s="1168"/>
      <c r="F44" s="1168"/>
      <c r="G44" s="1168"/>
      <c r="H44" s="1169">
        <f t="shared" si="0"/>
        <v>0</v>
      </c>
      <c r="I44" s="1169"/>
      <c r="J44" s="567">
        <f t="shared" si="1"/>
        <v>0</v>
      </c>
      <c r="L44" s="1158"/>
      <c r="M44" s="1158"/>
      <c r="N44" s="1158"/>
      <c r="O44" s="1158"/>
      <c r="P44" s="558"/>
      <c r="Q44" s="558"/>
      <c r="R44" s="558"/>
      <c r="S44" s="558"/>
      <c r="T44" s="558"/>
    </row>
    <row r="45" spans="1:20" ht="15.75" customHeight="1">
      <c r="A45" s="1167">
        <v>2048</v>
      </c>
      <c r="B45" s="1167"/>
      <c r="C45" s="1167"/>
      <c r="D45" s="1168"/>
      <c r="E45" s="1168"/>
      <c r="F45" s="1168"/>
      <c r="G45" s="1168"/>
      <c r="H45" s="1169">
        <f t="shared" si="0"/>
        <v>0</v>
      </c>
      <c r="I45" s="1169"/>
      <c r="J45" s="567">
        <f t="shared" si="1"/>
        <v>0</v>
      </c>
      <c r="L45" s="1158"/>
      <c r="M45" s="1158"/>
      <c r="N45" s="1158"/>
      <c r="O45" s="1158"/>
      <c r="P45" s="558"/>
      <c r="Q45" s="558"/>
      <c r="R45" s="558"/>
      <c r="S45" s="558"/>
      <c r="T45" s="558"/>
    </row>
    <row r="46" spans="1:20" ht="15.75" customHeight="1">
      <c r="A46" s="1167">
        <v>2049</v>
      </c>
      <c r="B46" s="1167"/>
      <c r="C46" s="1167"/>
      <c r="D46" s="1168"/>
      <c r="E46" s="1168"/>
      <c r="F46" s="1168"/>
      <c r="G46" s="1168"/>
      <c r="H46" s="1169">
        <f t="shared" si="0"/>
        <v>0</v>
      </c>
      <c r="I46" s="1169"/>
      <c r="J46" s="567">
        <f t="shared" si="1"/>
        <v>0</v>
      </c>
      <c r="L46" s="1158"/>
      <c r="M46" s="1158"/>
      <c r="N46" s="1158"/>
      <c r="O46" s="1158"/>
      <c r="P46" s="558"/>
      <c r="Q46" s="558"/>
      <c r="R46" s="558"/>
      <c r="S46" s="558"/>
      <c r="T46" s="558"/>
    </row>
    <row r="47" spans="1:20" ht="15.75" customHeight="1">
      <c r="A47" s="1167">
        <v>2050</v>
      </c>
      <c r="B47" s="1167"/>
      <c r="C47" s="1167"/>
      <c r="D47" s="1168"/>
      <c r="E47" s="1168"/>
      <c r="F47" s="1168"/>
      <c r="G47" s="1168"/>
      <c r="H47" s="1169">
        <f t="shared" si="0"/>
        <v>0</v>
      </c>
      <c r="I47" s="1169"/>
      <c r="J47" s="567">
        <f t="shared" si="1"/>
        <v>0</v>
      </c>
      <c r="L47" s="1158"/>
      <c r="M47" s="1158"/>
      <c r="N47" s="1158"/>
      <c r="O47" s="1158"/>
      <c r="P47" s="558"/>
      <c r="Q47" s="558"/>
      <c r="R47" s="558"/>
      <c r="S47" s="558"/>
      <c r="T47" s="558"/>
    </row>
    <row r="48" spans="1:20" ht="15.75" customHeight="1">
      <c r="A48" s="1167">
        <v>2051</v>
      </c>
      <c r="B48" s="1167"/>
      <c r="C48" s="1167"/>
      <c r="D48" s="1168"/>
      <c r="E48" s="1168"/>
      <c r="F48" s="1168"/>
      <c r="G48" s="1168"/>
      <c r="H48" s="1169">
        <f t="shared" si="0"/>
        <v>0</v>
      </c>
      <c r="I48" s="1169"/>
      <c r="J48" s="567">
        <f t="shared" si="1"/>
        <v>0</v>
      </c>
      <c r="L48" s="1158"/>
      <c r="M48" s="1158"/>
      <c r="N48" s="1158"/>
      <c r="O48" s="1158"/>
      <c r="P48" s="558"/>
      <c r="Q48" s="558"/>
      <c r="R48" s="558"/>
      <c r="S48" s="558"/>
      <c r="T48" s="558"/>
    </row>
    <row r="49" spans="1:20" ht="15.75" customHeight="1">
      <c r="A49" s="1167">
        <v>2052</v>
      </c>
      <c r="B49" s="1167"/>
      <c r="C49" s="1167"/>
      <c r="D49" s="1168"/>
      <c r="E49" s="1168"/>
      <c r="F49" s="1168"/>
      <c r="G49" s="1168"/>
      <c r="H49" s="1169">
        <f t="shared" si="0"/>
        <v>0</v>
      </c>
      <c r="I49" s="1169"/>
      <c r="J49" s="567">
        <f t="shared" si="1"/>
        <v>0</v>
      </c>
      <c r="L49" s="1158"/>
      <c r="M49" s="1158"/>
      <c r="N49" s="1158"/>
      <c r="O49" s="1158"/>
      <c r="P49" s="558"/>
      <c r="Q49" s="558"/>
      <c r="R49" s="558"/>
      <c r="S49" s="558"/>
      <c r="T49" s="558"/>
    </row>
    <row r="50" spans="1:20" ht="15.75" customHeight="1">
      <c r="A50" s="1167">
        <v>2053</v>
      </c>
      <c r="B50" s="1167"/>
      <c r="C50" s="1167"/>
      <c r="D50" s="1168"/>
      <c r="E50" s="1168"/>
      <c r="F50" s="1168"/>
      <c r="G50" s="1168"/>
      <c r="H50" s="1169">
        <f t="shared" si="0"/>
        <v>0</v>
      </c>
      <c r="I50" s="1169"/>
      <c r="J50" s="567">
        <f t="shared" si="1"/>
        <v>0</v>
      </c>
      <c r="L50" s="1158"/>
      <c r="M50" s="1158"/>
      <c r="N50" s="1158"/>
      <c r="O50" s="1158"/>
      <c r="P50" s="558"/>
      <c r="Q50" s="558"/>
      <c r="R50" s="558"/>
      <c r="S50" s="558"/>
      <c r="T50" s="558"/>
    </row>
    <row r="51" spans="1:20" ht="15.75" customHeight="1">
      <c r="A51" s="1167">
        <v>2054</v>
      </c>
      <c r="B51" s="1167"/>
      <c r="C51" s="1167"/>
      <c r="D51" s="1168"/>
      <c r="E51" s="1168"/>
      <c r="F51" s="1168"/>
      <c r="G51" s="1168"/>
      <c r="H51" s="1169">
        <f t="shared" si="0"/>
        <v>0</v>
      </c>
      <c r="I51" s="1169"/>
      <c r="J51" s="567">
        <f t="shared" si="1"/>
        <v>0</v>
      </c>
      <c r="L51" s="1158"/>
      <c r="M51" s="1158"/>
      <c r="N51" s="1158"/>
      <c r="O51" s="1158"/>
      <c r="P51" s="558"/>
      <c r="Q51" s="558"/>
      <c r="R51" s="558"/>
      <c r="S51" s="558"/>
      <c r="T51" s="558"/>
    </row>
    <row r="52" spans="1:20" ht="15.75" customHeight="1">
      <c r="A52" s="1167">
        <v>2055</v>
      </c>
      <c r="B52" s="1167"/>
      <c r="C52" s="1167"/>
      <c r="D52" s="1168"/>
      <c r="E52" s="1168"/>
      <c r="F52" s="1168"/>
      <c r="G52" s="1168"/>
      <c r="H52" s="1169">
        <f t="shared" si="0"/>
        <v>0</v>
      </c>
      <c r="I52" s="1169"/>
      <c r="J52" s="567">
        <f t="shared" si="1"/>
        <v>0</v>
      </c>
      <c r="L52" s="1158"/>
      <c r="M52" s="1158"/>
      <c r="N52" s="1158"/>
      <c r="O52" s="1158"/>
      <c r="P52" s="558"/>
      <c r="Q52" s="558"/>
      <c r="R52" s="558"/>
      <c r="S52" s="558"/>
      <c r="T52" s="558"/>
    </row>
    <row r="53" spans="1:20" ht="15.75" customHeight="1">
      <c r="A53" s="1167">
        <v>2056</v>
      </c>
      <c r="B53" s="1167"/>
      <c r="C53" s="1167"/>
      <c r="D53" s="1168"/>
      <c r="E53" s="1168"/>
      <c r="F53" s="1168"/>
      <c r="G53" s="1168"/>
      <c r="H53" s="1169">
        <f t="shared" si="0"/>
        <v>0</v>
      </c>
      <c r="I53" s="1169"/>
      <c r="J53" s="567">
        <f t="shared" si="1"/>
        <v>0</v>
      </c>
      <c r="L53" s="1158"/>
      <c r="M53" s="1158"/>
      <c r="N53" s="1158"/>
      <c r="O53" s="1158"/>
      <c r="P53" s="558"/>
      <c r="Q53" s="558"/>
      <c r="R53" s="558"/>
      <c r="S53" s="558"/>
      <c r="T53" s="558"/>
    </row>
    <row r="54" spans="1:20" ht="15.75" customHeight="1">
      <c r="A54" s="1167">
        <v>2057</v>
      </c>
      <c r="B54" s="1167"/>
      <c r="C54" s="1167"/>
      <c r="D54" s="1168"/>
      <c r="E54" s="1168"/>
      <c r="F54" s="1168"/>
      <c r="G54" s="1168"/>
      <c r="H54" s="1169">
        <f t="shared" si="0"/>
        <v>0</v>
      </c>
      <c r="I54" s="1169"/>
      <c r="J54" s="567">
        <f t="shared" si="1"/>
        <v>0</v>
      </c>
      <c r="L54" s="1158"/>
      <c r="M54" s="1158"/>
      <c r="N54" s="1158"/>
      <c r="O54" s="1158"/>
      <c r="P54" s="558"/>
      <c r="Q54" s="558"/>
      <c r="R54" s="558"/>
      <c r="S54" s="558"/>
      <c r="T54" s="558"/>
    </row>
    <row r="55" spans="1:20" ht="15.75" customHeight="1">
      <c r="A55" s="1167">
        <v>2058</v>
      </c>
      <c r="B55" s="1167"/>
      <c r="C55" s="1167"/>
      <c r="D55" s="1168"/>
      <c r="E55" s="1168"/>
      <c r="F55" s="1168"/>
      <c r="G55" s="1168"/>
      <c r="H55" s="1169">
        <f t="shared" si="0"/>
        <v>0</v>
      </c>
      <c r="I55" s="1169"/>
      <c r="J55" s="567">
        <f t="shared" si="1"/>
        <v>0</v>
      </c>
      <c r="L55" s="1158"/>
      <c r="M55" s="1158"/>
      <c r="N55" s="1158"/>
      <c r="O55" s="1158"/>
      <c r="P55" s="558"/>
      <c r="Q55" s="558"/>
      <c r="R55" s="558"/>
      <c r="S55" s="558"/>
      <c r="T55" s="558"/>
    </row>
    <row r="56" spans="1:20" ht="15.75" customHeight="1">
      <c r="A56" s="1167">
        <v>2059</v>
      </c>
      <c r="B56" s="1167"/>
      <c r="C56" s="1167"/>
      <c r="D56" s="1168"/>
      <c r="E56" s="1168"/>
      <c r="F56" s="1168"/>
      <c r="G56" s="1168"/>
      <c r="H56" s="1169">
        <f t="shared" si="0"/>
        <v>0</v>
      </c>
      <c r="I56" s="1169"/>
      <c r="J56" s="567">
        <f t="shared" si="1"/>
        <v>0</v>
      </c>
      <c r="L56" s="1158"/>
      <c r="M56" s="1158"/>
      <c r="N56" s="1158"/>
      <c r="O56" s="1158"/>
      <c r="P56" s="558"/>
      <c r="Q56" s="558"/>
      <c r="R56" s="558"/>
      <c r="S56" s="558"/>
      <c r="T56" s="558"/>
    </row>
    <row r="57" spans="1:20" ht="15.75" customHeight="1">
      <c r="A57" s="1167">
        <v>2060</v>
      </c>
      <c r="B57" s="1167"/>
      <c r="C57" s="1167"/>
      <c r="D57" s="1168"/>
      <c r="E57" s="1168"/>
      <c r="F57" s="1168"/>
      <c r="G57" s="1168"/>
      <c r="H57" s="1169">
        <f t="shared" si="0"/>
        <v>0</v>
      </c>
      <c r="I57" s="1169"/>
      <c r="J57" s="567">
        <f t="shared" si="1"/>
        <v>0</v>
      </c>
      <c r="L57" s="1158"/>
      <c r="M57" s="1158"/>
      <c r="N57" s="1158"/>
      <c r="O57" s="1158"/>
      <c r="P57" s="558"/>
      <c r="Q57" s="558"/>
      <c r="R57" s="558"/>
      <c r="S57" s="558"/>
      <c r="T57" s="558"/>
    </row>
    <row r="58" spans="1:20" ht="15.75" customHeight="1">
      <c r="A58" s="1167">
        <v>2061</v>
      </c>
      <c r="B58" s="1167"/>
      <c r="C58" s="1167"/>
      <c r="D58" s="1168"/>
      <c r="E58" s="1168"/>
      <c r="F58" s="1168"/>
      <c r="G58" s="1168"/>
      <c r="H58" s="1169">
        <f t="shared" si="0"/>
        <v>0</v>
      </c>
      <c r="I58" s="1169"/>
      <c r="J58" s="567">
        <f t="shared" si="1"/>
        <v>0</v>
      </c>
      <c r="L58" s="1158"/>
      <c r="M58" s="1158"/>
      <c r="N58" s="1158"/>
      <c r="O58" s="1158"/>
      <c r="P58" s="558"/>
      <c r="Q58" s="558"/>
      <c r="R58" s="558"/>
      <c r="S58" s="558"/>
      <c r="T58" s="558"/>
    </row>
    <row r="59" spans="1:20" ht="15.75" customHeight="1">
      <c r="A59" s="1167">
        <v>2062</v>
      </c>
      <c r="B59" s="1167"/>
      <c r="C59" s="1167"/>
      <c r="D59" s="1168"/>
      <c r="E59" s="1168"/>
      <c r="F59" s="1168"/>
      <c r="G59" s="1168"/>
      <c r="H59" s="1169">
        <f t="shared" si="0"/>
        <v>0</v>
      </c>
      <c r="I59" s="1169"/>
      <c r="J59" s="567">
        <f t="shared" si="1"/>
        <v>0</v>
      </c>
      <c r="L59" s="1158"/>
      <c r="M59" s="1158"/>
      <c r="N59" s="1158"/>
      <c r="O59" s="1158"/>
      <c r="P59" s="558"/>
      <c r="Q59" s="558"/>
      <c r="R59" s="558"/>
      <c r="S59" s="558"/>
      <c r="T59" s="558"/>
    </row>
    <row r="60" spans="1:20" ht="15.75" customHeight="1">
      <c r="A60" s="1167">
        <v>2063</v>
      </c>
      <c r="B60" s="1167"/>
      <c r="C60" s="1167"/>
      <c r="D60" s="1168"/>
      <c r="E60" s="1168"/>
      <c r="F60" s="1168"/>
      <c r="G60" s="1168"/>
      <c r="H60" s="1169">
        <f t="shared" si="0"/>
        <v>0</v>
      </c>
      <c r="I60" s="1169"/>
      <c r="J60" s="567">
        <f t="shared" si="1"/>
        <v>0</v>
      </c>
      <c r="L60" s="1158"/>
      <c r="M60" s="1158"/>
      <c r="N60" s="1158"/>
      <c r="O60" s="1158"/>
      <c r="P60" s="558"/>
      <c r="Q60" s="558"/>
      <c r="R60" s="558"/>
      <c r="S60" s="558"/>
      <c r="T60" s="558"/>
    </row>
    <row r="61" spans="1:20" ht="15.75" customHeight="1">
      <c r="A61" s="1167">
        <v>2064</v>
      </c>
      <c r="B61" s="1167"/>
      <c r="C61" s="1167"/>
      <c r="D61" s="1168"/>
      <c r="E61" s="1168"/>
      <c r="F61" s="1168"/>
      <c r="G61" s="1168"/>
      <c r="H61" s="1169">
        <f t="shared" si="0"/>
        <v>0</v>
      </c>
      <c r="I61" s="1169"/>
      <c r="J61" s="567">
        <f t="shared" si="1"/>
        <v>0</v>
      </c>
      <c r="L61" s="1158"/>
      <c r="M61" s="1158"/>
      <c r="N61" s="1158"/>
      <c r="O61" s="1158"/>
      <c r="P61" s="558"/>
      <c r="Q61" s="558"/>
      <c r="R61" s="558"/>
      <c r="S61" s="558"/>
      <c r="T61" s="558"/>
    </row>
    <row r="62" spans="1:20" ht="15.75" customHeight="1">
      <c r="A62" s="1167">
        <v>2065</v>
      </c>
      <c r="B62" s="1167"/>
      <c r="C62" s="1167"/>
      <c r="D62" s="1168"/>
      <c r="E62" s="1168"/>
      <c r="F62" s="1168"/>
      <c r="G62" s="1168"/>
      <c r="H62" s="1169">
        <f t="shared" si="0"/>
        <v>0</v>
      </c>
      <c r="I62" s="1169"/>
      <c r="J62" s="567">
        <f t="shared" si="1"/>
        <v>0</v>
      </c>
      <c r="L62" s="1158"/>
      <c r="M62" s="1158"/>
      <c r="N62" s="1158"/>
      <c r="O62" s="1158"/>
      <c r="P62" s="558"/>
      <c r="Q62" s="558"/>
      <c r="R62" s="558"/>
      <c r="S62" s="558"/>
      <c r="T62" s="558"/>
    </row>
    <row r="63" spans="1:20" ht="15.75" customHeight="1">
      <c r="A63" s="1167">
        <v>2066</v>
      </c>
      <c r="B63" s="1167"/>
      <c r="C63" s="1167"/>
      <c r="D63" s="1168"/>
      <c r="E63" s="1168"/>
      <c r="F63" s="1168"/>
      <c r="G63" s="1168"/>
      <c r="H63" s="1169">
        <f t="shared" si="0"/>
        <v>0</v>
      </c>
      <c r="I63" s="1169"/>
      <c r="J63" s="567">
        <f t="shared" si="1"/>
        <v>0</v>
      </c>
      <c r="L63" s="1158"/>
      <c r="M63" s="1158"/>
      <c r="N63" s="1158"/>
      <c r="O63" s="1158"/>
      <c r="P63" s="558"/>
      <c r="Q63" s="558"/>
      <c r="R63" s="558"/>
      <c r="S63" s="558"/>
      <c r="T63" s="558"/>
    </row>
    <row r="64" spans="1:20" ht="15.75" customHeight="1">
      <c r="A64" s="1167">
        <v>2067</v>
      </c>
      <c r="B64" s="1167"/>
      <c r="C64" s="1167"/>
      <c r="D64" s="1168"/>
      <c r="E64" s="1168"/>
      <c r="F64" s="1168"/>
      <c r="G64" s="1168"/>
      <c r="H64" s="1169">
        <f t="shared" si="0"/>
        <v>0</v>
      </c>
      <c r="I64" s="1169"/>
      <c r="J64" s="567">
        <f t="shared" si="1"/>
        <v>0</v>
      </c>
      <c r="L64" s="1158"/>
      <c r="M64" s="1158"/>
      <c r="N64" s="1158"/>
      <c r="O64" s="1158"/>
      <c r="P64" s="558"/>
      <c r="Q64" s="558"/>
      <c r="R64" s="558"/>
      <c r="S64" s="558"/>
      <c r="T64" s="558"/>
    </row>
    <row r="65" spans="1:20" ht="15.75" customHeight="1">
      <c r="A65" s="1167">
        <v>2068</v>
      </c>
      <c r="B65" s="1167"/>
      <c r="C65" s="1167"/>
      <c r="D65" s="1168"/>
      <c r="E65" s="1168"/>
      <c r="F65" s="1168"/>
      <c r="G65" s="1168"/>
      <c r="H65" s="1169">
        <f t="shared" si="0"/>
        <v>0</v>
      </c>
      <c r="I65" s="1169"/>
      <c r="J65" s="567">
        <f t="shared" si="1"/>
        <v>0</v>
      </c>
      <c r="L65" s="1158"/>
      <c r="M65" s="1158"/>
      <c r="N65" s="1158"/>
      <c r="O65" s="1158"/>
      <c r="P65" s="558"/>
      <c r="Q65" s="558"/>
      <c r="R65" s="558"/>
      <c r="S65" s="558"/>
      <c r="T65" s="558"/>
    </row>
    <row r="66" spans="1:20" ht="15.75" customHeight="1">
      <c r="A66" s="1167">
        <v>2069</v>
      </c>
      <c r="B66" s="1167"/>
      <c r="C66" s="1167"/>
      <c r="D66" s="1168"/>
      <c r="E66" s="1168"/>
      <c r="F66" s="1168"/>
      <c r="G66" s="1168"/>
      <c r="H66" s="1169">
        <f t="shared" si="0"/>
        <v>0</v>
      </c>
      <c r="I66" s="1169"/>
      <c r="J66" s="567">
        <f t="shared" si="1"/>
        <v>0</v>
      </c>
      <c r="L66" s="1158"/>
      <c r="M66" s="1158"/>
      <c r="N66" s="1158"/>
      <c r="O66" s="1158"/>
      <c r="P66" s="558"/>
      <c r="Q66" s="558"/>
      <c r="R66" s="558"/>
      <c r="S66" s="558"/>
      <c r="T66" s="558"/>
    </row>
    <row r="67" spans="1:20" ht="15.75" customHeight="1">
      <c r="A67" s="1167">
        <v>2070</v>
      </c>
      <c r="B67" s="1167"/>
      <c r="C67" s="1167"/>
      <c r="D67" s="1168"/>
      <c r="E67" s="1168"/>
      <c r="F67" s="1168"/>
      <c r="G67" s="1168"/>
      <c r="H67" s="1169">
        <f t="shared" si="0"/>
        <v>0</v>
      </c>
      <c r="I67" s="1169"/>
      <c r="J67" s="567">
        <f t="shared" si="1"/>
        <v>0</v>
      </c>
      <c r="L67" s="1158"/>
      <c r="M67" s="1158"/>
      <c r="N67" s="1158"/>
      <c r="O67" s="1158"/>
      <c r="P67" s="558"/>
      <c r="Q67" s="558"/>
      <c r="R67" s="558"/>
      <c r="S67" s="558"/>
      <c r="T67" s="558"/>
    </row>
    <row r="68" spans="1:20" ht="15.75" customHeight="1">
      <c r="A68" s="1167">
        <v>2071</v>
      </c>
      <c r="B68" s="1167"/>
      <c r="C68" s="1167"/>
      <c r="D68" s="1168"/>
      <c r="E68" s="1168"/>
      <c r="F68" s="1168"/>
      <c r="G68" s="1168"/>
      <c r="H68" s="1169">
        <f t="shared" si="0"/>
        <v>0</v>
      </c>
      <c r="I68" s="1169"/>
      <c r="J68" s="567">
        <f t="shared" si="1"/>
        <v>0</v>
      </c>
      <c r="L68" s="1158"/>
      <c r="M68" s="1158"/>
      <c r="N68" s="1158"/>
      <c r="O68" s="1158"/>
      <c r="P68" s="558"/>
      <c r="Q68" s="558"/>
      <c r="R68" s="558"/>
      <c r="S68" s="558"/>
      <c r="T68" s="558"/>
    </row>
    <row r="69" spans="1:20" ht="15.75" customHeight="1">
      <c r="A69" s="1167">
        <v>2072</v>
      </c>
      <c r="B69" s="1167"/>
      <c r="C69" s="1167"/>
      <c r="D69" s="1168"/>
      <c r="E69" s="1168"/>
      <c r="F69" s="1168"/>
      <c r="G69" s="1168"/>
      <c r="H69" s="1169">
        <f t="shared" si="0"/>
        <v>0</v>
      </c>
      <c r="I69" s="1169"/>
      <c r="J69" s="567">
        <f t="shared" si="1"/>
        <v>0</v>
      </c>
      <c r="L69" s="1158"/>
      <c r="M69" s="1158"/>
      <c r="N69" s="1158"/>
      <c r="O69" s="1158"/>
      <c r="P69" s="558"/>
      <c r="Q69" s="558"/>
      <c r="R69" s="558"/>
      <c r="S69" s="558"/>
      <c r="T69" s="558"/>
    </row>
    <row r="70" spans="1:20" ht="15.75" customHeight="1">
      <c r="A70" s="1167">
        <v>2073</v>
      </c>
      <c r="B70" s="1167"/>
      <c r="C70" s="1167"/>
      <c r="D70" s="1168"/>
      <c r="E70" s="1168"/>
      <c r="F70" s="1168"/>
      <c r="G70" s="1168"/>
      <c r="H70" s="1169">
        <f t="shared" si="0"/>
        <v>0</v>
      </c>
      <c r="I70" s="1169"/>
      <c r="J70" s="567">
        <f t="shared" si="1"/>
        <v>0</v>
      </c>
      <c r="L70" s="1158"/>
      <c r="M70" s="1158"/>
      <c r="N70" s="1158"/>
      <c r="O70" s="1158"/>
      <c r="P70" s="558"/>
      <c r="Q70" s="558"/>
      <c r="R70" s="558"/>
      <c r="S70" s="558"/>
      <c r="T70" s="558"/>
    </row>
    <row r="71" spans="1:20" ht="15.75" customHeight="1">
      <c r="A71" s="1167">
        <v>2074</v>
      </c>
      <c r="B71" s="1167"/>
      <c r="C71" s="1167"/>
      <c r="D71" s="1168"/>
      <c r="E71" s="1168"/>
      <c r="F71" s="1168"/>
      <c r="G71" s="1168"/>
      <c r="H71" s="1169">
        <f t="shared" si="0"/>
        <v>0</v>
      </c>
      <c r="I71" s="1169"/>
      <c r="J71" s="567">
        <f t="shared" si="1"/>
        <v>0</v>
      </c>
      <c r="L71" s="1158"/>
      <c r="M71" s="1158"/>
      <c r="N71" s="1158"/>
      <c r="O71" s="1158"/>
      <c r="P71" s="558"/>
      <c r="Q71" s="558"/>
      <c r="R71" s="558"/>
      <c r="S71" s="558"/>
      <c r="T71" s="558"/>
    </row>
    <row r="72" spans="1:20" ht="15.75" customHeight="1">
      <c r="A72" s="1167">
        <v>2075</v>
      </c>
      <c r="B72" s="1167"/>
      <c r="C72" s="1167"/>
      <c r="D72" s="1168"/>
      <c r="E72" s="1168"/>
      <c r="F72" s="1168"/>
      <c r="G72" s="1168"/>
      <c r="H72" s="1169">
        <f t="shared" si="0"/>
        <v>0</v>
      </c>
      <c r="I72" s="1169"/>
      <c r="J72" s="567">
        <f t="shared" si="1"/>
        <v>0</v>
      </c>
      <c r="L72" s="1158"/>
      <c r="M72" s="1158"/>
      <c r="N72" s="1158"/>
      <c r="O72" s="1158"/>
      <c r="P72" s="558"/>
      <c r="Q72" s="558"/>
      <c r="R72" s="558"/>
      <c r="S72" s="558"/>
      <c r="T72" s="558"/>
    </row>
    <row r="73" spans="1:20" ht="15.75" customHeight="1">
      <c r="A73" s="1167">
        <v>2076</v>
      </c>
      <c r="B73" s="1167"/>
      <c r="C73" s="1167"/>
      <c r="D73" s="1168"/>
      <c r="E73" s="1168"/>
      <c r="F73" s="1168"/>
      <c r="G73" s="1168"/>
      <c r="H73" s="1169">
        <f t="shared" si="0"/>
        <v>0</v>
      </c>
      <c r="I73" s="1169"/>
      <c r="J73" s="567">
        <f t="shared" si="1"/>
        <v>0</v>
      </c>
      <c r="L73" s="1158"/>
      <c r="M73" s="1158"/>
      <c r="N73" s="1158"/>
      <c r="O73" s="1158"/>
      <c r="P73" s="558"/>
      <c r="Q73" s="558"/>
      <c r="R73" s="558"/>
      <c r="S73" s="558"/>
      <c r="T73" s="558"/>
    </row>
    <row r="74" spans="1:20" ht="15.75" customHeight="1">
      <c r="A74" s="1167">
        <v>2077</v>
      </c>
      <c r="B74" s="1167"/>
      <c r="C74" s="1167"/>
      <c r="D74" s="1168"/>
      <c r="E74" s="1168"/>
      <c r="F74" s="1168"/>
      <c r="G74" s="1168"/>
      <c r="H74" s="1169">
        <f t="shared" si="0"/>
        <v>0</v>
      </c>
      <c r="I74" s="1169"/>
      <c r="J74" s="567">
        <f t="shared" si="1"/>
        <v>0</v>
      </c>
      <c r="L74" s="1158"/>
      <c r="M74" s="1158"/>
      <c r="N74" s="1158"/>
      <c r="O74" s="1158"/>
      <c r="P74" s="558"/>
      <c r="Q74" s="558"/>
      <c r="R74" s="558"/>
      <c r="S74" s="558"/>
      <c r="T74" s="558"/>
    </row>
    <row r="75" spans="1:20" ht="15.75" customHeight="1">
      <c r="A75" s="1167">
        <v>2078</v>
      </c>
      <c r="B75" s="1167"/>
      <c r="C75" s="1167"/>
      <c r="D75" s="1168"/>
      <c r="E75" s="1168"/>
      <c r="F75" s="1168"/>
      <c r="G75" s="1168"/>
      <c r="H75" s="1169">
        <f t="shared" si="0"/>
        <v>0</v>
      </c>
      <c r="I75" s="1169"/>
      <c r="J75" s="567">
        <f t="shared" si="1"/>
        <v>0</v>
      </c>
      <c r="L75" s="1158"/>
      <c r="M75" s="1158"/>
      <c r="N75" s="1158"/>
      <c r="O75" s="1158"/>
      <c r="P75" s="558"/>
      <c r="Q75" s="558"/>
      <c r="R75" s="558"/>
      <c r="S75" s="558"/>
      <c r="T75" s="558"/>
    </row>
    <row r="76" spans="1:20" ht="15.75" customHeight="1">
      <c r="A76" s="1167">
        <v>2079</v>
      </c>
      <c r="B76" s="1167"/>
      <c r="C76" s="1167"/>
      <c r="D76" s="1168"/>
      <c r="E76" s="1168"/>
      <c r="F76" s="1168"/>
      <c r="G76" s="1168"/>
      <c r="H76" s="1169">
        <f t="shared" si="0"/>
        <v>0</v>
      </c>
      <c r="I76" s="1169"/>
      <c r="J76" s="567">
        <f t="shared" si="1"/>
        <v>0</v>
      </c>
      <c r="L76" s="1158"/>
      <c r="M76" s="1158"/>
      <c r="N76" s="1158"/>
      <c r="O76" s="1158"/>
      <c r="P76" s="558"/>
      <c r="Q76" s="558"/>
      <c r="R76" s="558"/>
      <c r="S76" s="558"/>
      <c r="T76" s="558"/>
    </row>
    <row r="77" spans="1:20" ht="15.75" customHeight="1">
      <c r="A77" s="1167">
        <v>2080</v>
      </c>
      <c r="B77" s="1167"/>
      <c r="C77" s="1167"/>
      <c r="D77" s="1168"/>
      <c r="E77" s="1168"/>
      <c r="F77" s="1168"/>
      <c r="G77" s="1168"/>
      <c r="H77" s="1169">
        <f t="shared" si="0"/>
        <v>0</v>
      </c>
      <c r="I77" s="1169"/>
      <c r="J77" s="567">
        <f t="shared" si="1"/>
        <v>0</v>
      </c>
      <c r="L77" s="1158"/>
      <c r="M77" s="1158"/>
      <c r="N77" s="1158"/>
      <c r="O77" s="1158"/>
      <c r="P77" s="558"/>
      <c r="Q77" s="558"/>
      <c r="R77" s="558"/>
      <c r="S77" s="558"/>
      <c r="T77" s="558"/>
    </row>
    <row r="78" spans="1:20" ht="15.75" customHeight="1">
      <c r="A78" s="1167">
        <v>2081</v>
      </c>
      <c r="B78" s="1167"/>
      <c r="C78" s="1167"/>
      <c r="D78" s="1168"/>
      <c r="E78" s="1168"/>
      <c r="F78" s="1168"/>
      <c r="G78" s="1168"/>
      <c r="H78" s="1169">
        <f t="shared" si="0"/>
        <v>0</v>
      </c>
      <c r="I78" s="1169"/>
      <c r="J78" s="567">
        <f t="shared" si="1"/>
        <v>0</v>
      </c>
      <c r="L78" s="1158"/>
      <c r="M78" s="1158"/>
      <c r="N78" s="1158"/>
      <c r="O78" s="1158"/>
      <c r="P78" s="558"/>
      <c r="Q78" s="558"/>
      <c r="R78" s="558"/>
      <c r="S78" s="558"/>
      <c r="T78" s="558"/>
    </row>
    <row r="79" spans="1:20" ht="15.75" customHeight="1">
      <c r="A79" s="1167">
        <v>2082</v>
      </c>
      <c r="B79" s="1167"/>
      <c r="C79" s="1167"/>
      <c r="D79" s="1168"/>
      <c r="E79" s="1168"/>
      <c r="F79" s="1168"/>
      <c r="G79" s="1168"/>
      <c r="H79" s="1169">
        <f t="shared" si="0"/>
        <v>0</v>
      </c>
      <c r="I79" s="1169"/>
      <c r="J79" s="567">
        <f t="shared" si="1"/>
        <v>0</v>
      </c>
      <c r="L79" s="1158"/>
      <c r="M79" s="1158"/>
      <c r="N79" s="1158"/>
      <c r="O79" s="1158"/>
      <c r="P79" s="558"/>
      <c r="Q79" s="558"/>
      <c r="R79" s="558"/>
      <c r="S79" s="558"/>
      <c r="T79" s="558"/>
    </row>
    <row r="80" spans="1:20" ht="15.75" customHeight="1">
      <c r="A80" s="1167">
        <v>2083</v>
      </c>
      <c r="B80" s="1167"/>
      <c r="C80" s="1167"/>
      <c r="D80" s="1168"/>
      <c r="E80" s="1168"/>
      <c r="F80" s="1168"/>
      <c r="G80" s="1168"/>
      <c r="H80" s="1169">
        <f t="shared" si="0"/>
        <v>0</v>
      </c>
      <c r="I80" s="1169"/>
      <c r="J80" s="567">
        <f t="shared" si="1"/>
        <v>0</v>
      </c>
      <c r="L80" s="1158"/>
      <c r="M80" s="1158"/>
      <c r="N80" s="1158"/>
      <c r="O80" s="1158"/>
      <c r="P80" s="558"/>
      <c r="Q80" s="558"/>
      <c r="R80" s="558"/>
      <c r="S80" s="558"/>
      <c r="T80" s="558"/>
    </row>
    <row r="81" spans="1:20" ht="15.75" customHeight="1">
      <c r="A81" s="1167">
        <v>2084</v>
      </c>
      <c r="B81" s="1167"/>
      <c r="C81" s="1167"/>
      <c r="D81" s="1168"/>
      <c r="E81" s="1168"/>
      <c r="F81" s="1168"/>
      <c r="G81" s="1168"/>
      <c r="H81" s="1169">
        <f t="shared" si="0"/>
        <v>0</v>
      </c>
      <c r="I81" s="1169"/>
      <c r="J81" s="567">
        <f t="shared" si="1"/>
        <v>0</v>
      </c>
      <c r="L81" s="1158"/>
      <c r="M81" s="1158"/>
      <c r="N81" s="1158"/>
      <c r="O81" s="1158"/>
      <c r="P81" s="558"/>
      <c r="Q81" s="558"/>
      <c r="R81" s="558"/>
      <c r="S81" s="558"/>
      <c r="T81" s="558"/>
    </row>
    <row r="82" spans="1:20" ht="15.75" customHeight="1">
      <c r="A82" s="1167">
        <v>2085</v>
      </c>
      <c r="B82" s="1167"/>
      <c r="C82" s="1167"/>
      <c r="D82" s="1168"/>
      <c r="E82" s="1168"/>
      <c r="F82" s="1168"/>
      <c r="G82" s="1168"/>
      <c r="H82" s="1169">
        <f t="shared" si="0"/>
        <v>0</v>
      </c>
      <c r="I82" s="1169"/>
      <c r="J82" s="567">
        <f t="shared" si="1"/>
        <v>0</v>
      </c>
      <c r="L82" s="1158"/>
      <c r="M82" s="1158"/>
      <c r="N82" s="1158"/>
      <c r="O82" s="1158"/>
      <c r="P82" s="558"/>
      <c r="Q82" s="558"/>
      <c r="R82" s="558"/>
      <c r="S82" s="558"/>
      <c r="T82" s="558"/>
    </row>
    <row r="83" spans="1:20" ht="15.75" customHeight="1">
      <c r="A83" s="1167">
        <v>2086</v>
      </c>
      <c r="B83" s="1167"/>
      <c r="C83" s="1167"/>
      <c r="D83" s="1168"/>
      <c r="E83" s="1168"/>
      <c r="F83" s="1168"/>
      <c r="G83" s="1168"/>
      <c r="H83" s="1169">
        <f t="shared" si="0"/>
        <v>0</v>
      </c>
      <c r="I83" s="1169"/>
      <c r="J83" s="567">
        <f t="shared" si="1"/>
        <v>0</v>
      </c>
      <c r="L83" s="1158"/>
      <c r="M83" s="1158"/>
      <c r="N83" s="1158"/>
      <c r="O83" s="1158"/>
      <c r="P83" s="558"/>
      <c r="Q83" s="558"/>
      <c r="R83" s="558"/>
      <c r="S83" s="558"/>
      <c r="T83" s="558"/>
    </row>
    <row r="84" spans="1:20" ht="15.75" customHeight="1">
      <c r="A84" s="1167">
        <v>2087</v>
      </c>
      <c r="B84" s="1167"/>
      <c r="C84" s="1167"/>
      <c r="D84" s="1168"/>
      <c r="E84" s="1168"/>
      <c r="F84" s="1168"/>
      <c r="G84" s="1168"/>
      <c r="H84" s="1169">
        <f t="shared" si="0"/>
        <v>0</v>
      </c>
      <c r="I84" s="1169"/>
      <c r="J84" s="567">
        <f t="shared" si="1"/>
        <v>0</v>
      </c>
      <c r="L84" s="1158"/>
      <c r="M84" s="1158"/>
      <c r="N84" s="1158"/>
      <c r="O84" s="1158"/>
      <c r="P84" s="558"/>
      <c r="Q84" s="558"/>
      <c r="R84" s="558"/>
      <c r="S84" s="558"/>
      <c r="T84" s="558"/>
    </row>
    <row r="85" spans="1:20" ht="15.75" customHeight="1">
      <c r="A85" s="1167">
        <v>2088</v>
      </c>
      <c r="B85" s="1167"/>
      <c r="C85" s="1167"/>
      <c r="D85" s="1168"/>
      <c r="E85" s="1168"/>
      <c r="F85" s="1168"/>
      <c r="G85" s="1168"/>
      <c r="H85" s="1169">
        <f t="shared" si="0"/>
        <v>0</v>
      </c>
      <c r="I85" s="1169"/>
      <c r="J85" s="567">
        <f t="shared" si="1"/>
        <v>0</v>
      </c>
      <c r="L85" s="1158"/>
      <c r="M85" s="1158"/>
      <c r="N85" s="1158"/>
      <c r="O85" s="1158"/>
      <c r="P85" s="558"/>
      <c r="Q85" s="558"/>
      <c r="R85" s="558"/>
      <c r="S85" s="558"/>
      <c r="T85" s="558"/>
    </row>
    <row r="86" spans="1:20" ht="15.75" customHeight="1">
      <c r="A86" s="1167">
        <v>2089</v>
      </c>
      <c r="B86" s="1167"/>
      <c r="C86" s="1167"/>
      <c r="D86" s="1168"/>
      <c r="E86" s="1168"/>
      <c r="F86" s="1168"/>
      <c r="G86" s="1168"/>
      <c r="H86" s="1169">
        <f t="shared" si="0"/>
        <v>0</v>
      </c>
      <c r="I86" s="1169"/>
      <c r="J86" s="567">
        <f t="shared" si="1"/>
        <v>0</v>
      </c>
      <c r="L86" s="1158"/>
      <c r="M86" s="1158"/>
      <c r="N86" s="1158"/>
      <c r="O86" s="1158"/>
      <c r="P86" s="558"/>
      <c r="Q86" s="558"/>
      <c r="R86" s="558"/>
      <c r="S86" s="558"/>
      <c r="T86" s="558"/>
    </row>
    <row r="87" spans="1:20" ht="15.75" customHeight="1">
      <c r="A87" s="1167">
        <v>2090</v>
      </c>
      <c r="B87" s="1167"/>
      <c r="C87" s="1167"/>
      <c r="D87" s="1168"/>
      <c r="E87" s="1168"/>
      <c r="F87" s="1168"/>
      <c r="G87" s="1168"/>
      <c r="H87" s="1169">
        <f t="shared" si="0"/>
        <v>0</v>
      </c>
      <c r="I87" s="1169"/>
      <c r="J87" s="567">
        <f t="shared" si="1"/>
        <v>0</v>
      </c>
      <c r="L87" s="1158"/>
      <c r="M87" s="1158"/>
      <c r="N87" s="1158"/>
      <c r="O87" s="1158"/>
      <c r="P87" s="558"/>
      <c r="Q87" s="558"/>
      <c r="R87" s="558"/>
      <c r="S87" s="558"/>
      <c r="T87" s="558"/>
    </row>
    <row r="88" spans="1:20" ht="15.75" customHeight="1">
      <c r="A88" s="1167">
        <v>2091</v>
      </c>
      <c r="B88" s="1167"/>
      <c r="C88" s="1167"/>
      <c r="D88" s="1168"/>
      <c r="E88" s="1168"/>
      <c r="F88" s="1168"/>
      <c r="G88" s="1168"/>
      <c r="H88" s="1169">
        <f t="shared" si="0"/>
        <v>0</v>
      </c>
      <c r="I88" s="1169"/>
      <c r="J88" s="567">
        <f t="shared" si="1"/>
        <v>0</v>
      </c>
      <c r="L88" s="1158"/>
      <c r="M88" s="1158"/>
      <c r="N88" s="1158"/>
      <c r="O88" s="1158"/>
      <c r="P88" s="558"/>
      <c r="Q88" s="558"/>
      <c r="R88" s="558"/>
      <c r="S88" s="558"/>
      <c r="T88" s="558"/>
    </row>
    <row r="89" spans="1:15" ht="11.25" customHeight="1">
      <c r="A89" s="1167">
        <v>2092</v>
      </c>
      <c r="B89" s="1167"/>
      <c r="C89" s="1167"/>
      <c r="D89" s="568"/>
      <c r="E89" s="568"/>
      <c r="F89" s="1171"/>
      <c r="G89" s="1171"/>
      <c r="H89" s="1172">
        <f t="shared" si="0"/>
        <v>0</v>
      </c>
      <c r="I89" s="1172"/>
      <c r="J89" s="567">
        <f t="shared" si="1"/>
        <v>0</v>
      </c>
      <c r="L89" s="1158"/>
      <c r="M89" s="1158"/>
      <c r="N89" s="1158"/>
      <c r="O89" s="1158"/>
    </row>
    <row r="90" spans="1:15" ht="27" customHeight="1">
      <c r="A90" s="1173" t="s">
        <v>159</v>
      </c>
      <c r="B90" s="1173"/>
      <c r="C90" s="1173"/>
      <c r="D90" s="1173"/>
      <c r="E90" s="1173"/>
      <c r="F90" s="1173"/>
      <c r="G90" s="1173"/>
      <c r="H90" s="1173"/>
      <c r="I90" s="1173"/>
      <c r="J90" s="1173"/>
      <c r="L90" s="558"/>
      <c r="M90" s="558"/>
      <c r="N90" s="558"/>
      <c r="O90" s="558"/>
    </row>
    <row r="91" spans="1:15" ht="22.5" customHeight="1">
      <c r="A91" s="1174" t="s">
        <v>873</v>
      </c>
      <c r="B91" s="1174"/>
      <c r="C91" s="1174"/>
      <c r="D91" s="1174"/>
      <c r="E91" s="1174"/>
      <c r="F91" s="1174"/>
      <c r="G91" s="1174"/>
      <c r="H91" s="1174"/>
      <c r="I91" s="1174"/>
      <c r="J91" s="1174"/>
      <c r="L91" s="558"/>
      <c r="M91" s="558"/>
      <c r="N91" s="558"/>
      <c r="O91" s="558"/>
    </row>
    <row r="92" spans="1:15" ht="24.75" customHeight="1">
      <c r="A92" s="1174" t="s">
        <v>874</v>
      </c>
      <c r="B92" s="1174"/>
      <c r="C92" s="1174"/>
      <c r="D92" s="1174"/>
      <c r="E92" s="1174"/>
      <c r="F92" s="1174"/>
      <c r="G92" s="1174"/>
      <c r="H92" s="1174"/>
      <c r="I92" s="1174"/>
      <c r="J92" s="1174"/>
      <c r="L92" s="558"/>
      <c r="M92" s="558"/>
      <c r="N92" s="558"/>
      <c r="O92" s="558"/>
    </row>
  </sheetData>
  <sheetProtection password="F3F6" sheet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20" zoomScaleNormal="120" zoomScalePageLayoutView="0" workbookViewId="0" topLeftCell="A23">
      <selection activeCell="B25" sqref="B25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875</v>
      </c>
    </row>
    <row r="3" spans="1:7" ht="11.25" customHeight="1">
      <c r="A3" s="1175" t="str">
        <f>'Informações Iniciais'!A1</f>
        <v>ESTADO DO MARANHÃO - MUNICÍPIO DE SÃO FRANCISCO DO BREJÃO</v>
      </c>
      <c r="B3" s="1175"/>
      <c r="C3" s="1175"/>
      <c r="D3" s="1175"/>
      <c r="E3" s="1175"/>
      <c r="F3" s="1175"/>
      <c r="G3" s="573"/>
    </row>
    <row r="4" spans="1:7" ht="11.25" customHeight="1">
      <c r="A4" s="1175" t="s">
        <v>0</v>
      </c>
      <c r="B4" s="1175"/>
      <c r="C4" s="1175"/>
      <c r="D4" s="1175"/>
      <c r="E4" s="1175"/>
      <c r="F4" s="1175"/>
      <c r="G4" s="573"/>
    </row>
    <row r="5" spans="1:7" ht="11.25" customHeight="1">
      <c r="A5" s="1176" t="s">
        <v>876</v>
      </c>
      <c r="B5" s="1176"/>
      <c r="C5" s="1176"/>
      <c r="D5" s="1176"/>
      <c r="E5" s="1176"/>
      <c r="F5" s="1176"/>
      <c r="G5" s="574"/>
    </row>
    <row r="6" spans="1:7" ht="11.25" customHeight="1">
      <c r="A6" s="1175" t="s">
        <v>28</v>
      </c>
      <c r="B6" s="1175"/>
      <c r="C6" s="1175"/>
      <c r="D6" s="1175"/>
      <c r="E6" s="1175"/>
      <c r="F6" s="1175"/>
      <c r="G6" s="573"/>
    </row>
    <row r="7" spans="1:7" ht="11.25" customHeight="1">
      <c r="A7" s="1175" t="str">
        <f>'Informações Iniciais'!A5</f>
        <v>3º Bimestre de 2018</v>
      </c>
      <c r="B7" s="1175"/>
      <c r="C7" s="1175"/>
      <c r="D7" s="1175"/>
      <c r="E7" s="1175"/>
      <c r="F7" s="1175"/>
      <c r="G7" s="573"/>
    </row>
    <row r="9" spans="1:8" ht="11.25" customHeight="1">
      <c r="A9" s="575" t="s">
        <v>877</v>
      </c>
      <c r="F9" s="576"/>
      <c r="G9" s="576"/>
      <c r="H9" s="576" t="s">
        <v>30</v>
      </c>
    </row>
    <row r="10" spans="1:8" ht="11.25" customHeight="1">
      <c r="A10" s="1177" t="s">
        <v>31</v>
      </c>
      <c r="B10" s="577" t="s">
        <v>33</v>
      </c>
      <c r="C10" s="1178" t="s">
        <v>34</v>
      </c>
      <c r="D10" s="1178"/>
      <c r="E10" s="1178"/>
      <c r="F10" s="1178"/>
      <c r="G10" s="1178"/>
      <c r="H10" s="577" t="s">
        <v>35</v>
      </c>
    </row>
    <row r="11" spans="1:8" ht="11.25" customHeight="1">
      <c r="A11" s="1177"/>
      <c r="B11" s="578" t="s">
        <v>39</v>
      </c>
      <c r="C11" s="1179" t="s">
        <v>40</v>
      </c>
      <c r="D11" s="1179"/>
      <c r="E11" s="1179"/>
      <c r="F11" s="1179"/>
      <c r="G11" s="1179"/>
      <c r="H11" s="578" t="s">
        <v>207</v>
      </c>
    </row>
    <row r="12" spans="1:8" ht="11.25" customHeight="1">
      <c r="A12" s="579" t="s">
        <v>878</v>
      </c>
      <c r="B12" s="567">
        <f>SUM(B13:B14)</f>
        <v>0</v>
      </c>
      <c r="C12" s="1166">
        <f>SUM(C13:G14)</f>
        <v>0</v>
      </c>
      <c r="D12" s="1166"/>
      <c r="E12" s="1166"/>
      <c r="F12" s="1166"/>
      <c r="G12" s="1166"/>
      <c r="H12" s="567">
        <f>B12-C12</f>
        <v>0</v>
      </c>
    </row>
    <row r="13" spans="1:8" ht="11.25" customHeight="1">
      <c r="A13" s="580" t="s">
        <v>879</v>
      </c>
      <c r="B13" s="581"/>
      <c r="C13" s="1168"/>
      <c r="D13" s="1168"/>
      <c r="E13" s="1168"/>
      <c r="F13" s="1168"/>
      <c r="G13" s="1168"/>
      <c r="H13" s="567">
        <f>B13-C13</f>
        <v>0</v>
      </c>
    </row>
    <row r="14" spans="1:8" ht="11.25" customHeight="1">
      <c r="A14" s="580" t="s">
        <v>880</v>
      </c>
      <c r="B14" s="581"/>
      <c r="C14" s="1171"/>
      <c r="D14" s="1171"/>
      <c r="E14" s="1171"/>
      <c r="F14" s="1171"/>
      <c r="G14" s="1171"/>
      <c r="H14" s="567">
        <f>B14-C14</f>
        <v>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881</v>
      </c>
      <c r="D16" s="587" t="s">
        <v>881</v>
      </c>
      <c r="E16" s="588" t="s">
        <v>882</v>
      </c>
      <c r="F16" s="589" t="s">
        <v>881</v>
      </c>
      <c r="G16" s="590" t="s">
        <v>883</v>
      </c>
      <c r="H16" s="577" t="s">
        <v>35</v>
      </c>
    </row>
    <row r="17" spans="1:8" ht="11.25" customHeight="1">
      <c r="A17" s="591"/>
      <c r="B17" s="592"/>
      <c r="C17" s="593" t="s">
        <v>884</v>
      </c>
      <c r="D17" s="594" t="s">
        <v>885</v>
      </c>
      <c r="E17" s="595" t="s">
        <v>886</v>
      </c>
      <c r="F17" s="596" t="s">
        <v>887</v>
      </c>
      <c r="G17" s="597" t="s">
        <v>888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889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890</v>
      </c>
    </row>
    <row r="20" spans="1:8" ht="11.25" customHeight="1">
      <c r="A20" s="607" t="s">
        <v>891</v>
      </c>
      <c r="B20" s="608">
        <f aca="true" t="shared" si="0" ref="B20:G20">B21+B25</f>
        <v>7090704.56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7090704.56</v>
      </c>
    </row>
    <row r="21" spans="1:8" ht="11.25" customHeight="1">
      <c r="A21" s="609" t="s">
        <v>494</v>
      </c>
      <c r="B21" s="610">
        <f aca="true" t="shared" si="2" ref="B21:G21">SUM(B22:B24)</f>
        <v>7090704.56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7090704.56</v>
      </c>
    </row>
    <row r="22" spans="1:8" ht="11.25" customHeight="1">
      <c r="A22" s="609" t="s">
        <v>892</v>
      </c>
      <c r="B22" s="581">
        <v>6910704.56</v>
      </c>
      <c r="C22" s="581"/>
      <c r="D22" s="581"/>
      <c r="E22" s="581"/>
      <c r="F22" s="581"/>
      <c r="G22" s="581"/>
      <c r="H22" s="566">
        <f t="shared" si="1"/>
        <v>6910704.56</v>
      </c>
    </row>
    <row r="23" spans="1:8" ht="11.25" customHeight="1">
      <c r="A23" s="609" t="s">
        <v>893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894</v>
      </c>
      <c r="B24" s="581">
        <v>180000</v>
      </c>
      <c r="C24" s="581"/>
      <c r="D24" s="581"/>
      <c r="E24" s="581"/>
      <c r="F24" s="581"/>
      <c r="G24" s="581"/>
      <c r="H24" s="566">
        <f t="shared" si="1"/>
        <v>180000</v>
      </c>
    </row>
    <row r="25" spans="1:8" ht="11.25" customHeight="1">
      <c r="A25" s="609" t="s">
        <v>895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896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897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80" t="s">
        <v>898</v>
      </c>
      <c r="B29" s="614">
        <f>C29-1</f>
        <v>2016</v>
      </c>
      <c r="C29" s="1181">
        <v>2017</v>
      </c>
      <c r="D29" s="1181"/>
      <c r="E29" s="1181"/>
      <c r="F29" s="1181"/>
      <c r="G29" s="1181"/>
      <c r="H29" s="587" t="s">
        <v>899</v>
      </c>
    </row>
    <row r="30" spans="1:8" ht="11.25" customHeight="1">
      <c r="A30" s="1180"/>
      <c r="B30" s="606" t="s">
        <v>650</v>
      </c>
      <c r="C30" s="604"/>
      <c r="D30" s="1182" t="s">
        <v>900</v>
      </c>
      <c r="E30" s="1182"/>
      <c r="F30" s="1182"/>
      <c r="G30" s="615"/>
      <c r="H30" s="606" t="s">
        <v>901</v>
      </c>
    </row>
    <row r="31" spans="1:8" ht="11.25" customHeight="1">
      <c r="A31" s="616" t="s">
        <v>902</v>
      </c>
      <c r="B31" s="581"/>
      <c r="C31" s="1172">
        <f>C12-E20-G20</f>
        <v>0</v>
      </c>
      <c r="D31" s="1172"/>
      <c r="E31" s="1172"/>
      <c r="F31" s="1172"/>
      <c r="G31" s="1172"/>
      <c r="H31" s="617">
        <f>B31+C31</f>
        <v>0</v>
      </c>
    </row>
    <row r="32" spans="1:13" ht="16.5" customHeight="1">
      <c r="A32" s="1183" t="s">
        <v>159</v>
      </c>
      <c r="B32" s="1183"/>
      <c r="C32" s="1183"/>
      <c r="D32" s="1183"/>
      <c r="E32" s="1183"/>
      <c r="F32" s="1183"/>
      <c r="G32" s="1183"/>
      <c r="H32" s="1183"/>
      <c r="I32" s="494"/>
      <c r="J32" s="494"/>
      <c r="K32" s="494"/>
      <c r="L32" s="494"/>
      <c r="M32" s="494"/>
    </row>
    <row r="33" spans="1:8" ht="11.25" customHeight="1">
      <c r="A33" s="1184"/>
      <c r="B33" s="1184"/>
      <c r="C33" s="1184"/>
      <c r="D33" s="1184"/>
      <c r="E33" s="1184"/>
      <c r="F33" s="1184"/>
      <c r="G33" s="1184"/>
      <c r="H33" s="1184"/>
    </row>
    <row r="34" spans="1:8" ht="11.25" customHeight="1">
      <c r="A34" s="1185"/>
      <c r="B34" s="1185"/>
      <c r="C34" s="1185"/>
      <c r="D34" s="1185"/>
      <c r="E34" s="1185"/>
      <c r="F34" s="1185"/>
      <c r="G34" s="1185"/>
      <c r="H34" s="1185"/>
    </row>
    <row r="35" spans="1:8" ht="11.25" customHeight="1">
      <c r="A35" s="1175"/>
      <c r="B35" s="1175"/>
      <c r="C35" s="1175"/>
      <c r="D35" s="1175"/>
      <c r="E35" s="1175"/>
      <c r="F35" s="1175"/>
      <c r="G35" s="1175"/>
      <c r="H35" s="1175"/>
    </row>
    <row r="36" spans="1:8" ht="11.25" customHeight="1">
      <c r="A36" s="1175"/>
      <c r="B36" s="1175"/>
      <c r="C36" s="1175"/>
      <c r="D36" s="1175"/>
      <c r="E36" s="1175"/>
      <c r="F36" s="1175"/>
      <c r="G36" s="1175"/>
      <c r="H36" s="1175"/>
    </row>
    <row r="39" ht="11.25" customHeight="1">
      <c r="D39" s="570" t="s">
        <v>903</v>
      </c>
    </row>
  </sheetData>
  <sheetProtection password="F3F6" sheet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11">
      <selection activeCell="H120" sqref="H120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904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186" t="str">
        <f>'Informações Iniciais'!A1</f>
        <v>ESTADO DO MARANHÃO - MUNICÍPIO DE SÃO FRANCISCO DO BREJÃO</v>
      </c>
      <c r="B3" s="1186"/>
      <c r="C3" s="1186"/>
      <c r="D3" s="1186"/>
      <c r="E3" s="1186"/>
      <c r="F3" s="1186"/>
      <c r="G3" s="1186"/>
    </row>
    <row r="4" spans="1:7" ht="14.25" customHeight="1">
      <c r="A4" s="1186" t="s">
        <v>0</v>
      </c>
      <c r="B4" s="1186"/>
      <c r="C4" s="1186"/>
      <c r="D4" s="1186"/>
      <c r="E4" s="1186"/>
      <c r="F4" s="1186"/>
      <c r="G4" s="1186"/>
    </row>
    <row r="5" spans="1:7" ht="14.25" customHeight="1">
      <c r="A5" s="1187" t="s">
        <v>905</v>
      </c>
      <c r="B5" s="1187"/>
      <c r="C5" s="1187"/>
      <c r="D5" s="1187"/>
      <c r="E5" s="1187"/>
      <c r="F5" s="1187"/>
      <c r="G5" s="1187"/>
    </row>
    <row r="6" spans="1:256" ht="12.75" customHeight="1">
      <c r="A6" s="1186" t="s">
        <v>28</v>
      </c>
      <c r="B6" s="1186"/>
      <c r="C6" s="1186"/>
      <c r="D6" s="1186"/>
      <c r="E6" s="1186"/>
      <c r="F6" s="1186"/>
      <c r="G6" s="1186"/>
      <c r="II6" s="1188" t="s">
        <v>1</v>
      </c>
      <c r="IJ6" s="1188"/>
      <c r="IK6" s="1188"/>
      <c r="IL6" s="1188"/>
      <c r="IM6" s="1188"/>
      <c r="IN6" s="1188"/>
      <c r="IO6" s="618">
        <f>IF($A$7=IP6,1,0)</f>
        <v>0</v>
      </c>
      <c r="IP6" s="864" t="s">
        <v>661</v>
      </c>
      <c r="IQ6" s="864"/>
      <c r="IR6" s="864"/>
      <c r="IS6" s="864"/>
      <c r="IT6" s="864"/>
      <c r="IU6" s="864"/>
      <c r="IV6" s="864"/>
    </row>
    <row r="7" spans="1:256" ht="14.25" customHeight="1">
      <c r="A7" s="1187" t="str">
        <f>+'Informações Iniciais'!A5</f>
        <v>3º Bimestre de 2018</v>
      </c>
      <c r="B7" s="1187"/>
      <c r="C7" s="1187"/>
      <c r="D7" s="1187"/>
      <c r="E7" s="1187"/>
      <c r="F7" s="1187"/>
      <c r="G7" s="1187"/>
      <c r="II7" s="1188"/>
      <c r="IJ7" s="1188"/>
      <c r="IK7" s="1188"/>
      <c r="IL7" s="1188"/>
      <c r="IM7" s="1188"/>
      <c r="IN7" s="1188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189">
        <f>IF(IT13=1,"","O período acima deve ser escolhido clicando na setinha ao lado da célula. A indicação de período diferente pode comprometer os dados da planilha!!!")</f>
      </c>
      <c r="B8" s="1189"/>
      <c r="C8" s="1189"/>
      <c r="D8" s="1189"/>
      <c r="E8" s="1189"/>
      <c r="F8" s="1189"/>
      <c r="G8" s="1189"/>
      <c r="II8" s="1188"/>
      <c r="IJ8" s="1188"/>
      <c r="IK8" s="1188"/>
      <c r="IL8" s="1188"/>
      <c r="IM8" s="1188"/>
      <c r="IN8" s="1188"/>
      <c r="IT8" s="618">
        <f t="shared" si="0"/>
        <v>0</v>
      </c>
      <c r="IV8" s="623" t="s">
        <v>5</v>
      </c>
    </row>
    <row r="9" spans="1:256" ht="14.25" customHeight="1">
      <c r="A9" s="1190" t="s">
        <v>906</v>
      </c>
      <c r="B9" s="1190"/>
      <c r="C9" s="1190"/>
      <c r="D9" s="1190"/>
      <c r="E9" s="1190"/>
      <c r="F9" s="1190"/>
      <c r="G9" s="624" t="s">
        <v>30</v>
      </c>
      <c r="II9" s="1188"/>
      <c r="IJ9" s="1188"/>
      <c r="IK9" s="1188"/>
      <c r="IL9" s="1188"/>
      <c r="IM9" s="1188"/>
      <c r="IN9" s="1188"/>
      <c r="IT9" s="618">
        <f t="shared" si="0"/>
        <v>1</v>
      </c>
      <c r="IV9" s="623" t="s">
        <v>2</v>
      </c>
    </row>
    <row r="10" spans="1:256" ht="12.75" customHeight="1">
      <c r="A10" s="625"/>
      <c r="B10" s="1191" t="s">
        <v>32</v>
      </c>
      <c r="C10" s="1191" t="s">
        <v>33</v>
      </c>
      <c r="D10" s="1192" t="s">
        <v>34</v>
      </c>
      <c r="E10" s="1192"/>
      <c r="F10" s="1192"/>
      <c r="G10" s="1192"/>
      <c r="II10" s="1188"/>
      <c r="IJ10" s="1188"/>
      <c r="IK10" s="1188"/>
      <c r="IL10" s="1188"/>
      <c r="IM10" s="1188"/>
      <c r="IN10" s="1188"/>
      <c r="IT10" s="618">
        <f t="shared" si="0"/>
        <v>0</v>
      </c>
      <c r="IV10" s="623" t="s">
        <v>7</v>
      </c>
    </row>
    <row r="11" spans="1:256" ht="14.25" customHeight="1">
      <c r="A11" s="626" t="s">
        <v>907</v>
      </c>
      <c r="B11" s="1191"/>
      <c r="C11" s="1191"/>
      <c r="D11" s="1193" t="s">
        <v>38</v>
      </c>
      <c r="E11" s="1193"/>
      <c r="F11" s="1194" t="s">
        <v>37</v>
      </c>
      <c r="G11" s="1194"/>
      <c r="II11" s="1188"/>
      <c r="IJ11" s="1188"/>
      <c r="IK11" s="1188"/>
      <c r="IL11" s="1188"/>
      <c r="IM11" s="1188"/>
      <c r="IN11" s="1188"/>
      <c r="IT11" s="618">
        <f t="shared" si="0"/>
        <v>0</v>
      </c>
      <c r="IV11" s="623" t="s">
        <v>9</v>
      </c>
    </row>
    <row r="12" spans="1:256" ht="14.25" customHeight="1">
      <c r="A12" s="628"/>
      <c r="B12" s="1191"/>
      <c r="C12" s="629" t="s">
        <v>39</v>
      </c>
      <c r="D12" s="1195" t="s">
        <v>40</v>
      </c>
      <c r="E12" s="1195"/>
      <c r="F12" s="1196" t="s">
        <v>908</v>
      </c>
      <c r="G12" s="1196"/>
      <c r="II12" s="1188"/>
      <c r="IJ12" s="1188"/>
      <c r="IK12" s="1188"/>
      <c r="IL12" s="1188"/>
      <c r="IM12" s="1188"/>
      <c r="IN12" s="1188"/>
      <c r="IT12" s="618">
        <f t="shared" si="0"/>
        <v>0</v>
      </c>
      <c r="IV12" s="623" t="s">
        <v>11</v>
      </c>
    </row>
    <row r="13" spans="1:254" ht="14.25" customHeight="1">
      <c r="A13" s="630" t="s">
        <v>909</v>
      </c>
      <c r="B13" s="631">
        <f>SUM(B14:B21)</f>
        <v>152500</v>
      </c>
      <c r="C13" s="631">
        <f>SUM(C14:C21)</f>
        <v>152500</v>
      </c>
      <c r="D13" s="1197">
        <f>SUM(D14:D21)</f>
        <v>196794.34999999998</v>
      </c>
      <c r="E13" s="1197"/>
      <c r="F13" s="1198">
        <f aca="true" t="shared" si="1" ref="F13:F31">IF(C13="",0,IF(C13=0,0,D13/C13))</f>
        <v>1.2904547540983604</v>
      </c>
      <c r="G13" s="1198"/>
      <c r="IT13" s="618">
        <f>SUM(IT7:IT12)+IO6</f>
        <v>1</v>
      </c>
    </row>
    <row r="14" spans="1:256" ht="14.25" customHeight="1">
      <c r="A14" s="632" t="s">
        <v>910</v>
      </c>
      <c r="B14" s="633"/>
      <c r="C14" s="634"/>
      <c r="D14" s="1199"/>
      <c r="E14" s="1199"/>
      <c r="F14" s="1198">
        <f t="shared" si="1"/>
        <v>0</v>
      </c>
      <c r="G14" s="1198"/>
      <c r="IU14" s="636" t="s">
        <v>667</v>
      </c>
      <c r="IV14" s="618">
        <f>+'Informações Iniciais'!C23</f>
        <v>0</v>
      </c>
    </row>
    <row r="15" spans="1:7" ht="14.25" customHeight="1">
      <c r="A15" s="632" t="s">
        <v>911</v>
      </c>
      <c r="B15" s="633"/>
      <c r="C15" s="634"/>
      <c r="D15" s="1199"/>
      <c r="E15" s="1199"/>
      <c r="F15" s="1198">
        <f t="shared" si="1"/>
        <v>0</v>
      </c>
      <c r="G15" s="1198"/>
    </row>
    <row r="16" spans="1:7" ht="14.25" customHeight="1">
      <c r="A16" s="632" t="s">
        <v>912</v>
      </c>
      <c r="B16" s="633">
        <v>100000</v>
      </c>
      <c r="C16" s="634">
        <v>100000</v>
      </c>
      <c r="D16" s="1199">
        <v>147375.4</v>
      </c>
      <c r="E16" s="1199"/>
      <c r="F16" s="1198">
        <f t="shared" si="1"/>
        <v>1.473754</v>
      </c>
      <c r="G16" s="1198"/>
    </row>
    <row r="17" spans="1:7" ht="14.25" customHeight="1">
      <c r="A17" s="632" t="s">
        <v>913</v>
      </c>
      <c r="B17" s="633">
        <v>50000</v>
      </c>
      <c r="C17" s="634">
        <v>50000</v>
      </c>
      <c r="D17" s="1199">
        <v>49418.95</v>
      </c>
      <c r="E17" s="1199"/>
      <c r="F17" s="1198">
        <f t="shared" si="1"/>
        <v>0.9883789999999999</v>
      </c>
      <c r="G17" s="1198"/>
    </row>
    <row r="18" spans="1:7" ht="14.25" customHeight="1">
      <c r="A18" s="632" t="s">
        <v>914</v>
      </c>
      <c r="B18" s="633"/>
      <c r="C18" s="634"/>
      <c r="D18" s="1199"/>
      <c r="E18" s="1199"/>
      <c r="F18" s="1198">
        <f t="shared" si="1"/>
        <v>0</v>
      </c>
      <c r="G18" s="1198"/>
    </row>
    <row r="19" spans="1:7" ht="14.25" customHeight="1">
      <c r="A19" s="632" t="s">
        <v>915</v>
      </c>
      <c r="B19" s="633">
        <v>2500</v>
      </c>
      <c r="C19" s="634">
        <v>2500</v>
      </c>
      <c r="D19" s="1199"/>
      <c r="E19" s="1199"/>
      <c r="F19" s="1198">
        <f t="shared" si="1"/>
        <v>0</v>
      </c>
      <c r="G19" s="1198"/>
    </row>
    <row r="20" spans="1:7" ht="14.25" customHeight="1">
      <c r="A20" s="632" t="s">
        <v>916</v>
      </c>
      <c r="B20" s="633"/>
      <c r="C20" s="634"/>
      <c r="D20" s="1199"/>
      <c r="E20" s="1199"/>
      <c r="F20" s="1198">
        <f t="shared" si="1"/>
        <v>0</v>
      </c>
      <c r="G20" s="1198"/>
    </row>
    <row r="21" spans="1:7" ht="14.25" customHeight="1">
      <c r="A21" s="632" t="s">
        <v>917</v>
      </c>
      <c r="B21" s="633"/>
      <c r="C21" s="634"/>
      <c r="D21" s="1199"/>
      <c r="E21" s="1199"/>
      <c r="F21" s="1198">
        <f t="shared" si="1"/>
        <v>0</v>
      </c>
      <c r="G21" s="1198"/>
    </row>
    <row r="22" spans="1:7" ht="14.25" customHeight="1">
      <c r="A22" s="632" t="s">
        <v>918</v>
      </c>
      <c r="B22" s="631">
        <f>SUM(B23:B28)</f>
        <v>14130000</v>
      </c>
      <c r="C22" s="631">
        <f>SUM(C23:C28)</f>
        <v>14130000</v>
      </c>
      <c r="D22" s="1200">
        <f>SUM(D23:D28)</f>
        <v>6008426.53</v>
      </c>
      <c r="E22" s="1200"/>
      <c r="F22" s="1198">
        <f t="shared" si="1"/>
        <v>0.42522480750176933</v>
      </c>
      <c r="G22" s="1198"/>
    </row>
    <row r="23" spans="1:7" ht="14.25" customHeight="1">
      <c r="A23" s="632" t="s">
        <v>919</v>
      </c>
      <c r="B23" s="638">
        <v>12000000</v>
      </c>
      <c r="C23" s="634">
        <v>12000000</v>
      </c>
      <c r="D23" s="1199">
        <v>5043947.38</v>
      </c>
      <c r="E23" s="1199"/>
      <c r="F23" s="1198">
        <f t="shared" si="1"/>
        <v>0.42032894833333334</v>
      </c>
      <c r="G23" s="1198"/>
    </row>
    <row r="24" spans="1:7" ht="14.25" customHeight="1">
      <c r="A24" s="632" t="s">
        <v>920</v>
      </c>
      <c r="B24" s="638">
        <v>10000</v>
      </c>
      <c r="C24" s="634">
        <v>10000</v>
      </c>
      <c r="D24" s="1199">
        <v>2684.42</v>
      </c>
      <c r="E24" s="1199"/>
      <c r="F24" s="1198">
        <f t="shared" si="1"/>
        <v>0.268442</v>
      </c>
      <c r="G24" s="1198"/>
    </row>
    <row r="25" spans="1:7" ht="14.25" customHeight="1">
      <c r="A25" s="632" t="s">
        <v>921</v>
      </c>
      <c r="B25" s="638">
        <v>100000</v>
      </c>
      <c r="C25" s="634">
        <v>100000</v>
      </c>
      <c r="D25" s="1199">
        <v>125644.18</v>
      </c>
      <c r="E25" s="1199"/>
      <c r="F25" s="1198">
        <f t="shared" si="1"/>
        <v>1.2564418</v>
      </c>
      <c r="G25" s="1198"/>
    </row>
    <row r="26" spans="1:7" ht="14.25" customHeight="1">
      <c r="A26" s="632" t="s">
        <v>922</v>
      </c>
      <c r="B26" s="638">
        <v>2000000</v>
      </c>
      <c r="C26" s="634">
        <v>2000000</v>
      </c>
      <c r="D26" s="1199">
        <v>821534.4</v>
      </c>
      <c r="E26" s="1199"/>
      <c r="F26" s="1198">
        <f t="shared" si="1"/>
        <v>0.4107672</v>
      </c>
      <c r="G26" s="1198"/>
    </row>
    <row r="27" spans="1:7" ht="14.25" customHeight="1">
      <c r="A27" s="632" t="s">
        <v>923</v>
      </c>
      <c r="B27" s="638">
        <v>10000</v>
      </c>
      <c r="C27" s="634">
        <v>10000</v>
      </c>
      <c r="D27" s="1199">
        <v>8889.21</v>
      </c>
      <c r="E27" s="1199"/>
      <c r="F27" s="1198">
        <f t="shared" si="1"/>
        <v>0.888921</v>
      </c>
      <c r="G27" s="1198"/>
    </row>
    <row r="28" spans="1:7" ht="14.25" customHeight="1">
      <c r="A28" s="632" t="s">
        <v>924</v>
      </c>
      <c r="B28" s="631">
        <f>SUM(B29:B30)</f>
        <v>10000</v>
      </c>
      <c r="C28" s="631">
        <f>SUM(C29:C30)</f>
        <v>10000</v>
      </c>
      <c r="D28" s="1200">
        <f>SUM(D29:D30)</f>
        <v>5726.94</v>
      </c>
      <c r="E28" s="1200"/>
      <c r="F28" s="1198">
        <f t="shared" si="1"/>
        <v>0.5726939999999999</v>
      </c>
      <c r="G28" s="1198"/>
    </row>
    <row r="29" spans="1:7" ht="14.25" customHeight="1">
      <c r="A29" s="632" t="s">
        <v>925</v>
      </c>
      <c r="B29" s="638">
        <v>10000</v>
      </c>
      <c r="C29" s="634">
        <v>10000</v>
      </c>
      <c r="D29" s="1199">
        <v>5726.94</v>
      </c>
      <c r="E29" s="1199"/>
      <c r="F29" s="1198">
        <f t="shared" si="1"/>
        <v>0.5726939999999999</v>
      </c>
      <c r="G29" s="1198"/>
    </row>
    <row r="30" spans="1:7" ht="14.25" customHeight="1">
      <c r="A30" s="632" t="s">
        <v>926</v>
      </c>
      <c r="B30" s="638"/>
      <c r="C30" s="634"/>
      <c r="D30" s="1199"/>
      <c r="E30" s="1199"/>
      <c r="F30" s="1198">
        <f t="shared" si="1"/>
        <v>0</v>
      </c>
      <c r="G30" s="1198"/>
    </row>
    <row r="31" spans="1:7" ht="14.25" customHeight="1">
      <c r="A31" s="639" t="s">
        <v>927</v>
      </c>
      <c r="B31" s="640">
        <f>B13+B22</f>
        <v>14282500</v>
      </c>
      <c r="C31" s="640">
        <f>C13+C22</f>
        <v>14282500</v>
      </c>
      <c r="D31" s="1201">
        <f>D13+D22</f>
        <v>6205220.88</v>
      </c>
      <c r="E31" s="1201"/>
      <c r="F31" s="1202">
        <f t="shared" si="1"/>
        <v>0.4344632158235603</v>
      </c>
      <c r="G31" s="1202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03" t="s">
        <v>928</v>
      </c>
      <c r="B33" s="1191" t="s">
        <v>32</v>
      </c>
      <c r="C33" s="1191" t="s">
        <v>33</v>
      </c>
      <c r="D33" s="1192" t="s">
        <v>34</v>
      </c>
      <c r="E33" s="1192"/>
      <c r="F33" s="1192"/>
      <c r="G33" s="1192"/>
    </row>
    <row r="34" spans="1:7" ht="14.25" customHeight="1">
      <c r="A34" s="1203"/>
      <c r="B34" s="1191"/>
      <c r="C34" s="1191"/>
      <c r="D34" s="1193" t="s">
        <v>38</v>
      </c>
      <c r="E34" s="1193"/>
      <c r="F34" s="1194" t="s">
        <v>37</v>
      </c>
      <c r="G34" s="1194"/>
    </row>
    <row r="35" spans="1:7" ht="14.25" customHeight="1">
      <c r="A35" s="1203"/>
      <c r="B35" s="1191"/>
      <c r="C35" s="629" t="s">
        <v>42</v>
      </c>
      <c r="D35" s="1195" t="s">
        <v>130</v>
      </c>
      <c r="E35" s="1195"/>
      <c r="F35" s="1196" t="s">
        <v>929</v>
      </c>
      <c r="G35" s="1196"/>
    </row>
    <row r="36" spans="1:7" ht="14.25" customHeight="1">
      <c r="A36" s="643" t="s">
        <v>930</v>
      </c>
      <c r="B36" s="644">
        <f>SUM(B37:B40)</f>
        <v>4778000</v>
      </c>
      <c r="C36" s="644">
        <f>SUM(C37:C40)</f>
        <v>4778000</v>
      </c>
      <c r="D36" s="1197">
        <f>SUM(D37:D40)</f>
        <v>1854547.25</v>
      </c>
      <c r="E36" s="1197"/>
      <c r="F36" s="1198">
        <f aca="true" t="shared" si="2" ref="F36:F44">IF(C36="",0,IF(C36=0,0,D36/C36))</f>
        <v>0.3881429991628296</v>
      </c>
      <c r="G36" s="1198"/>
    </row>
    <row r="37" spans="1:7" ht="14.25" customHeight="1">
      <c r="A37" s="643" t="s">
        <v>931</v>
      </c>
      <c r="B37" s="645">
        <v>4460000</v>
      </c>
      <c r="C37" s="634">
        <v>4460000</v>
      </c>
      <c r="D37" s="1199">
        <v>1799859.14</v>
      </c>
      <c r="E37" s="1199"/>
      <c r="F37" s="1198">
        <f t="shared" si="2"/>
        <v>0.40355586098654705</v>
      </c>
      <c r="G37" s="1198"/>
    </row>
    <row r="38" spans="1:7" ht="14.25" customHeight="1">
      <c r="A38" s="643" t="s">
        <v>932</v>
      </c>
      <c r="B38" s="645">
        <v>318000</v>
      </c>
      <c r="C38" s="634">
        <v>318000</v>
      </c>
      <c r="D38" s="1199">
        <v>54688.11</v>
      </c>
      <c r="E38" s="1199"/>
      <c r="F38" s="1198">
        <f t="shared" si="2"/>
        <v>0.17197518867924527</v>
      </c>
      <c r="G38" s="1198"/>
    </row>
    <row r="39" spans="1:7" ht="14.25" customHeight="1">
      <c r="A39" s="643" t="s">
        <v>933</v>
      </c>
      <c r="B39" s="645"/>
      <c r="C39" s="634"/>
      <c r="D39" s="1199"/>
      <c r="E39" s="1199"/>
      <c r="F39" s="1198">
        <f t="shared" si="2"/>
        <v>0</v>
      </c>
      <c r="G39" s="1198"/>
    </row>
    <row r="40" spans="1:7" ht="14.25" customHeight="1">
      <c r="A40" s="643" t="s">
        <v>934</v>
      </c>
      <c r="B40" s="645"/>
      <c r="C40" s="634"/>
      <c r="D40" s="1199"/>
      <c r="E40" s="1199"/>
      <c r="F40" s="1198">
        <f t="shared" si="2"/>
        <v>0</v>
      </c>
      <c r="G40" s="1198"/>
    </row>
    <row r="41" spans="1:7" ht="14.25" customHeight="1">
      <c r="A41" s="643" t="s">
        <v>935</v>
      </c>
      <c r="B41" s="645"/>
      <c r="C41" s="634"/>
      <c r="D41" s="1199"/>
      <c r="E41" s="1199"/>
      <c r="F41" s="1198">
        <f t="shared" si="2"/>
        <v>0</v>
      </c>
      <c r="G41" s="1198"/>
    </row>
    <row r="42" spans="1:7" ht="14.25" customHeight="1">
      <c r="A42" s="646" t="s">
        <v>936</v>
      </c>
      <c r="B42" s="645"/>
      <c r="C42" s="634"/>
      <c r="D42" s="1199"/>
      <c r="E42" s="1199"/>
      <c r="F42" s="1198">
        <f t="shared" si="2"/>
        <v>0</v>
      </c>
      <c r="G42" s="1198"/>
    </row>
    <row r="43" spans="1:7" ht="14.25" customHeight="1">
      <c r="A43" s="647" t="s">
        <v>937</v>
      </c>
      <c r="B43" s="648"/>
      <c r="C43" s="649"/>
      <c r="D43" s="1199"/>
      <c r="E43" s="1199"/>
      <c r="F43" s="1198">
        <f t="shared" si="2"/>
        <v>0</v>
      </c>
      <c r="G43" s="1198"/>
    </row>
    <row r="44" spans="1:7" ht="14.25" customHeight="1">
      <c r="A44" s="650" t="s">
        <v>938</v>
      </c>
      <c r="B44" s="651">
        <f>B36+B41+B42+B43</f>
        <v>4778000</v>
      </c>
      <c r="C44" s="651">
        <f>C36+C41+C42+C43</f>
        <v>4778000</v>
      </c>
      <c r="D44" s="1204">
        <f>D36+D41+D42+D43</f>
        <v>1854547.25</v>
      </c>
      <c r="E44" s="1204"/>
      <c r="F44" s="1202">
        <f t="shared" si="2"/>
        <v>0.3881429991628296</v>
      </c>
      <c r="G44" s="1202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05" t="s">
        <v>939</v>
      </c>
      <c r="B46" s="1191" t="s">
        <v>123</v>
      </c>
      <c r="C46" s="1191" t="s">
        <v>124</v>
      </c>
      <c r="D46" s="1206" t="s">
        <v>125</v>
      </c>
      <c r="E46" s="1206"/>
      <c r="F46" s="1206" t="s">
        <v>126</v>
      </c>
      <c r="G46" s="1206"/>
      <c r="H46" s="1207" t="s">
        <v>940</v>
      </c>
    </row>
    <row r="47" spans="1:8" ht="15.75" customHeight="1">
      <c r="A47" s="1205"/>
      <c r="B47" s="1191"/>
      <c r="C47" s="1191"/>
      <c r="D47" s="654" t="s">
        <v>38</v>
      </c>
      <c r="E47" s="655" t="s">
        <v>37</v>
      </c>
      <c r="F47" s="654" t="s">
        <v>38</v>
      </c>
      <c r="G47" s="655" t="s">
        <v>37</v>
      </c>
      <c r="H47" s="1207"/>
    </row>
    <row r="48" spans="1:8" ht="15.75" customHeight="1">
      <c r="A48" s="656" t="s">
        <v>941</v>
      </c>
      <c r="B48" s="1191"/>
      <c r="C48" s="657" t="s">
        <v>131</v>
      </c>
      <c r="D48" s="658" t="s">
        <v>132</v>
      </c>
      <c r="E48" s="659" t="s">
        <v>942</v>
      </c>
      <c r="F48" s="658" t="s">
        <v>649</v>
      </c>
      <c r="G48" s="659" t="s">
        <v>943</v>
      </c>
      <c r="H48" s="1207"/>
    </row>
    <row r="49" spans="1:8" ht="14.25" customHeight="1">
      <c r="A49" s="660" t="s">
        <v>944</v>
      </c>
      <c r="B49" s="661">
        <f>SUM(B50:B52)</f>
        <v>3968000</v>
      </c>
      <c r="C49" s="661">
        <f>SUM(C50:C52)</f>
        <v>6119482.07</v>
      </c>
      <c r="D49" s="661">
        <f>SUM(D50:D52)</f>
        <v>4711246.970000001</v>
      </c>
      <c r="E49" s="483">
        <f aca="true" t="shared" si="3" ref="E49:E57">IF($C49="",0,IF($C49=0,0,D49/$C49))</f>
        <v>0.7698767503701502</v>
      </c>
      <c r="F49" s="662">
        <f>SUM(F50:F52)</f>
        <v>2239644.34</v>
      </c>
      <c r="G49" s="454">
        <f aca="true" t="shared" si="4" ref="G49:G57">IF($C49="",0,IF($C49=0,0,F49/$C49))</f>
        <v>0.36598593057075496</v>
      </c>
      <c r="H49" s="644">
        <f>SUM(H50:H52)</f>
        <v>2471602.63</v>
      </c>
    </row>
    <row r="50" spans="1:8" ht="14.25" customHeight="1">
      <c r="A50" s="641" t="s">
        <v>574</v>
      </c>
      <c r="B50" s="638">
        <v>2286500</v>
      </c>
      <c r="C50" s="638">
        <v>2306316.05</v>
      </c>
      <c r="D50" s="638">
        <v>1517766.62</v>
      </c>
      <c r="E50" s="51">
        <f t="shared" si="3"/>
        <v>0.6580913400832468</v>
      </c>
      <c r="F50" s="663">
        <v>1517766.62</v>
      </c>
      <c r="G50" s="454">
        <f t="shared" si="4"/>
        <v>0.6580913400832468</v>
      </c>
      <c r="H50" s="634"/>
    </row>
    <row r="51" spans="1:8" ht="14.25" customHeight="1">
      <c r="A51" s="641" t="s">
        <v>945</v>
      </c>
      <c r="B51" s="638">
        <v>500</v>
      </c>
      <c r="C51" s="638">
        <v>500</v>
      </c>
      <c r="D51" s="638"/>
      <c r="E51" s="51">
        <f t="shared" si="3"/>
        <v>0</v>
      </c>
      <c r="F51" s="664"/>
      <c r="G51" s="454">
        <f t="shared" si="4"/>
        <v>0</v>
      </c>
      <c r="H51" s="634"/>
    </row>
    <row r="52" spans="1:8" ht="14.25" customHeight="1">
      <c r="A52" s="641" t="s">
        <v>576</v>
      </c>
      <c r="B52" s="638">
        <v>1681000</v>
      </c>
      <c r="C52" s="638">
        <v>3812666.02</v>
      </c>
      <c r="D52" s="638">
        <v>3193480.35</v>
      </c>
      <c r="E52" s="51">
        <f t="shared" si="3"/>
        <v>0.8375977159415605</v>
      </c>
      <c r="F52" s="664">
        <v>721877.72</v>
      </c>
      <c r="G52" s="454">
        <f t="shared" si="4"/>
        <v>0.18933673083696956</v>
      </c>
      <c r="H52" s="634">
        <v>2471602.63</v>
      </c>
    </row>
    <row r="53" spans="1:8" ht="14.25" customHeight="1">
      <c r="A53" s="641" t="s">
        <v>851</v>
      </c>
      <c r="B53" s="631">
        <f>SUM(B54:B56)</f>
        <v>820000</v>
      </c>
      <c r="C53" s="631">
        <f>SUM(C54:C56)</f>
        <v>404200.69</v>
      </c>
      <c r="D53" s="631">
        <f>SUM(D54:D56)</f>
        <v>186273</v>
      </c>
      <c r="E53" s="51">
        <f t="shared" si="3"/>
        <v>0.46084285506786243</v>
      </c>
      <c r="F53" s="665">
        <f>SUM(F54:F56)</f>
        <v>0</v>
      </c>
      <c r="G53" s="454">
        <f t="shared" si="4"/>
        <v>0</v>
      </c>
      <c r="H53" s="666">
        <f>SUM(H54:H56)</f>
        <v>186273</v>
      </c>
    </row>
    <row r="54" spans="1:8" ht="14.25" customHeight="1">
      <c r="A54" s="622" t="s">
        <v>946</v>
      </c>
      <c r="B54" s="638">
        <v>820000</v>
      </c>
      <c r="C54" s="667">
        <v>404200.69</v>
      </c>
      <c r="D54" s="635">
        <v>186273</v>
      </c>
      <c r="E54" s="51">
        <f t="shared" si="3"/>
        <v>0.46084285506786243</v>
      </c>
      <c r="F54" s="668"/>
      <c r="G54" s="454">
        <f t="shared" si="4"/>
        <v>0</v>
      </c>
      <c r="H54" s="669">
        <v>186273</v>
      </c>
    </row>
    <row r="55" spans="1:8" ht="14.25" customHeight="1">
      <c r="A55" s="622" t="s">
        <v>580</v>
      </c>
      <c r="B55" s="638"/>
      <c r="C55" s="667"/>
      <c r="D55" s="635"/>
      <c r="E55" s="51">
        <f t="shared" si="3"/>
        <v>0</v>
      </c>
      <c r="F55" s="668"/>
      <c r="G55" s="454">
        <f t="shared" si="4"/>
        <v>0</v>
      </c>
      <c r="H55" s="669"/>
    </row>
    <row r="56" spans="1:8" ht="14.25" customHeight="1">
      <c r="A56" s="622" t="s">
        <v>947</v>
      </c>
      <c r="B56" s="638"/>
      <c r="C56" s="667"/>
      <c r="D56" s="635"/>
      <c r="E56" s="488">
        <f t="shared" si="3"/>
        <v>0</v>
      </c>
      <c r="F56" s="668"/>
      <c r="G56" s="454">
        <f t="shared" si="4"/>
        <v>0</v>
      </c>
      <c r="H56" s="670"/>
    </row>
    <row r="57" spans="1:256" ht="14.25" customHeight="1">
      <c r="A57" s="671" t="s">
        <v>948</v>
      </c>
      <c r="B57" s="672">
        <f>B49+B53</f>
        <v>4788000</v>
      </c>
      <c r="C57" s="672">
        <f>C49+C53</f>
        <v>6523682.760000001</v>
      </c>
      <c r="D57" s="672">
        <f>D49+D53</f>
        <v>4897519.970000001</v>
      </c>
      <c r="E57" s="490">
        <f t="shared" si="3"/>
        <v>0.7507293273102078</v>
      </c>
      <c r="F57" s="672">
        <f>F49+F53</f>
        <v>2239644.34</v>
      </c>
      <c r="G57" s="490">
        <f t="shared" si="4"/>
        <v>0.3433098178428283</v>
      </c>
      <c r="H57" s="673">
        <f>H49+H53</f>
        <v>2657875.63</v>
      </c>
      <c r="IR57" s="674"/>
      <c r="IS57" s="674"/>
      <c r="IT57" s="674"/>
      <c r="IU57" s="636" t="s">
        <v>949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09" t="s">
        <v>950</v>
      </c>
      <c r="B59" s="1191" t="s">
        <v>123</v>
      </c>
      <c r="C59" s="1191" t="s">
        <v>124</v>
      </c>
      <c r="D59" s="1206" t="s">
        <v>125</v>
      </c>
      <c r="E59" s="1206"/>
      <c r="F59" s="1206" t="s">
        <v>126</v>
      </c>
      <c r="G59" s="1206"/>
      <c r="H59" s="1207" t="s">
        <v>940</v>
      </c>
    </row>
    <row r="60" spans="1:8" ht="15" customHeight="1">
      <c r="A60" s="1209"/>
      <c r="B60" s="1191"/>
      <c r="C60" s="1191"/>
      <c r="D60" s="654" t="s">
        <v>38</v>
      </c>
      <c r="E60" s="655" t="s">
        <v>37</v>
      </c>
      <c r="F60" s="654" t="s">
        <v>38</v>
      </c>
      <c r="G60" s="655" t="s">
        <v>37</v>
      </c>
      <c r="H60" s="1207"/>
    </row>
    <row r="61" spans="1:8" ht="15" customHeight="1">
      <c r="A61" s="1209"/>
      <c r="B61" s="1191"/>
      <c r="C61" s="1191"/>
      <c r="D61" s="658" t="s">
        <v>134</v>
      </c>
      <c r="E61" s="676" t="s">
        <v>951</v>
      </c>
      <c r="F61" s="658" t="s">
        <v>650</v>
      </c>
      <c r="G61" s="676" t="s">
        <v>952</v>
      </c>
      <c r="H61" s="1207"/>
    </row>
    <row r="62" spans="1:8" ht="14.25" customHeight="1">
      <c r="A62" s="677" t="s">
        <v>953</v>
      </c>
      <c r="B62" s="678"/>
      <c r="C62" s="679"/>
      <c r="D62" s="667"/>
      <c r="E62" s="483">
        <f aca="true" t="shared" si="5" ref="E62:E72">IF($D$57="",0,IF($D$57=0,0,D62/$D$57))</f>
        <v>0</v>
      </c>
      <c r="F62" s="668"/>
      <c r="G62" s="483">
        <f aca="true" t="shared" si="6" ref="G62:G72">IF($F$57="",0,IF($F$57=0,0,F62/$F$57))</f>
        <v>0</v>
      </c>
      <c r="H62" s="669"/>
    </row>
    <row r="63" spans="1:8" ht="14.25" customHeight="1">
      <c r="A63" s="680" t="s">
        <v>954</v>
      </c>
      <c r="B63" s="681"/>
      <c r="C63" s="682"/>
      <c r="D63" s="667"/>
      <c r="E63" s="51">
        <f t="shared" si="5"/>
        <v>0</v>
      </c>
      <c r="F63" s="683"/>
      <c r="G63" s="51">
        <f t="shared" si="6"/>
        <v>0</v>
      </c>
      <c r="H63" s="669"/>
    </row>
    <row r="64" spans="1:8" ht="14.25" customHeight="1">
      <c r="A64" s="680" t="s">
        <v>955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956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957</v>
      </c>
      <c r="B66" s="634"/>
      <c r="C66" s="634"/>
      <c r="D66" s="667"/>
      <c r="E66" s="51">
        <f t="shared" si="5"/>
        <v>0</v>
      </c>
      <c r="F66" s="683"/>
      <c r="G66" s="51">
        <f t="shared" si="6"/>
        <v>0</v>
      </c>
      <c r="H66" s="669"/>
    </row>
    <row r="67" spans="1:8" ht="14.25" customHeight="1">
      <c r="A67" s="688" t="s">
        <v>958</v>
      </c>
      <c r="B67" s="634"/>
      <c r="C67" s="634"/>
      <c r="D67" s="634"/>
      <c r="E67" s="51">
        <f t="shared" si="5"/>
        <v>0</v>
      </c>
      <c r="F67" s="689"/>
      <c r="G67" s="51">
        <f t="shared" si="6"/>
        <v>0</v>
      </c>
      <c r="H67" s="669"/>
    </row>
    <row r="68" spans="1:8" ht="14.25" customHeight="1">
      <c r="A68" s="690" t="s">
        <v>959</v>
      </c>
      <c r="B68" s="634"/>
      <c r="C68" s="634"/>
      <c r="D68" s="634"/>
      <c r="E68" s="51">
        <f t="shared" si="5"/>
        <v>0</v>
      </c>
      <c r="F68" s="689"/>
      <c r="G68" s="51">
        <f t="shared" si="6"/>
        <v>0</v>
      </c>
      <c r="H68" s="669"/>
    </row>
    <row r="69" spans="1:8" ht="14.25" customHeight="1">
      <c r="A69" s="691" t="s">
        <v>960</v>
      </c>
      <c r="B69" s="692"/>
      <c r="C69" s="692"/>
      <c r="D69" s="634"/>
      <c r="E69" s="51">
        <f t="shared" si="5"/>
        <v>0</v>
      </c>
      <c r="F69" s="693"/>
      <c r="G69" s="51">
        <f t="shared" si="6"/>
        <v>0</v>
      </c>
      <c r="H69" s="669"/>
    </row>
    <row r="70" spans="1:8" ht="14.25" customHeight="1">
      <c r="A70" s="694" t="s">
        <v>961</v>
      </c>
      <c r="B70" s="634"/>
      <c r="C70" s="634"/>
      <c r="D70" s="634"/>
      <c r="E70" s="51">
        <f t="shared" si="5"/>
        <v>0</v>
      </c>
      <c r="F70" s="689"/>
      <c r="G70" s="51">
        <f t="shared" si="6"/>
        <v>0</v>
      </c>
      <c r="H70" s="669"/>
    </row>
    <row r="71" spans="1:8" ht="24" customHeight="1">
      <c r="A71" s="695" t="s">
        <v>962</v>
      </c>
      <c r="B71" s="634"/>
      <c r="C71" s="634"/>
      <c r="D71" s="634"/>
      <c r="E71" s="488">
        <f t="shared" si="5"/>
        <v>0</v>
      </c>
      <c r="F71" s="689"/>
      <c r="G71" s="488">
        <f t="shared" si="6"/>
        <v>0</v>
      </c>
      <c r="H71" s="670"/>
    </row>
    <row r="72" spans="1:256" ht="14.25" customHeight="1">
      <c r="A72" s="696" t="s">
        <v>963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949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964</v>
      </c>
      <c r="B74" s="698">
        <f>B57-B72</f>
        <v>4788000</v>
      </c>
      <c r="C74" s="698">
        <f>C57-C72</f>
        <v>6523682.760000001</v>
      </c>
      <c r="D74" s="698">
        <f>D57-D72</f>
        <v>4897519.970000001</v>
      </c>
      <c r="E74" s="699"/>
      <c r="F74" s="698">
        <f>F57-F72</f>
        <v>2239644.34</v>
      </c>
      <c r="G74" s="699"/>
      <c r="H74" s="698">
        <f>H57-H72</f>
        <v>2657875.63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10" t="s">
        <v>965</v>
      </c>
      <c r="B76" s="1210"/>
      <c r="C76" s="1210"/>
      <c r="D76" s="1210"/>
      <c r="E76" s="1211">
        <f>IF(IV76=3,IF(D$31="",0,IF(D$31=0,0,IF(A$7=IV$12,D$74/D$31,F$74/D$31))),IF(IV76=4,"Verifique o preenchimento da planilha INFORMAÇÕES INICIAIS","HÁ ERROS ACIMA. VERIFIQUE!!!"))</f>
        <v>0.3609290278801485</v>
      </c>
      <c r="F76" s="1211"/>
      <c r="G76" s="1211"/>
      <c r="H76" s="1211"/>
      <c r="IU76" s="636" t="s">
        <v>966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10" t="s">
        <v>967</v>
      </c>
      <c r="B78" s="1210"/>
      <c r="C78" s="1210"/>
      <c r="D78" s="1210"/>
      <c r="E78" s="1212">
        <f>IF(D$31="",0,IF(D$31=0,0,IF(A$7=IV$12,D$74-D$31*0.15,F$74-D$31*0.15)))</f>
        <v>1308861.2079999999</v>
      </c>
      <c r="F78" s="1212"/>
      <c r="G78" s="1212"/>
      <c r="H78" s="1212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1" t="s">
        <v>968</v>
      </c>
      <c r="B80" s="1191"/>
      <c r="C80" s="1213" t="s">
        <v>969</v>
      </c>
      <c r="D80" s="1191" t="s">
        <v>970</v>
      </c>
      <c r="E80" s="1191" t="s">
        <v>971</v>
      </c>
      <c r="F80" s="1191" t="s">
        <v>972</v>
      </c>
      <c r="G80" s="1213" t="s">
        <v>973</v>
      </c>
      <c r="H80" s="1213"/>
    </row>
    <row r="81" spans="1:8" ht="23.25" customHeight="1">
      <c r="A81" s="1191"/>
      <c r="B81" s="1191"/>
      <c r="C81" s="1213"/>
      <c r="D81" s="1191"/>
      <c r="E81" s="1191"/>
      <c r="F81" s="1191"/>
      <c r="G81" s="1213"/>
      <c r="H81" s="1213"/>
    </row>
    <row r="82" spans="1:8" ht="15" customHeight="1">
      <c r="A82" s="1214" t="s">
        <v>974</v>
      </c>
      <c r="B82" s="1214"/>
      <c r="C82" s="707"/>
      <c r="D82" s="708"/>
      <c r="E82" s="709"/>
      <c r="F82" s="710"/>
      <c r="G82" s="1215"/>
      <c r="H82" s="1215"/>
    </row>
    <row r="83" spans="1:8" ht="12" customHeight="1">
      <c r="A83" s="1216" t="s">
        <v>975</v>
      </c>
      <c r="B83" s="1216"/>
      <c r="C83" s="712"/>
      <c r="D83" s="713"/>
      <c r="E83" s="638"/>
      <c r="F83" s="664"/>
      <c r="G83" s="1217"/>
      <c r="H83" s="1217"/>
    </row>
    <row r="84" spans="1:8" ht="12" customHeight="1">
      <c r="A84" s="714" t="s">
        <v>976</v>
      </c>
      <c r="B84" s="711"/>
      <c r="C84" s="712"/>
      <c r="D84" s="713"/>
      <c r="E84" s="638"/>
      <c r="F84" s="664"/>
      <c r="G84" s="1217"/>
      <c r="H84" s="1217"/>
    </row>
    <row r="85" spans="1:8" ht="11.25" customHeight="1">
      <c r="A85" s="715" t="s">
        <v>977</v>
      </c>
      <c r="B85" s="711"/>
      <c r="C85" s="712"/>
      <c r="D85" s="713"/>
      <c r="E85" s="635"/>
      <c r="F85" s="668"/>
      <c r="G85" s="1217"/>
      <c r="H85" s="1217"/>
    </row>
    <row r="86" spans="1:8" ht="12.75" customHeight="1">
      <c r="A86" s="1218" t="s">
        <v>978</v>
      </c>
      <c r="B86" s="1218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19">
        <f>SUM(G82:G85)</f>
        <v>0</v>
      </c>
      <c r="H86" s="1219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220" t="s">
        <v>979</v>
      </c>
      <c r="B88" s="1220"/>
      <c r="C88" s="1221" t="s">
        <v>980</v>
      </c>
      <c r="D88" s="1221"/>
      <c r="E88" s="1221"/>
      <c r="F88" s="1221"/>
      <c r="G88" s="1221"/>
      <c r="H88" s="1221"/>
    </row>
    <row r="89" spans="1:8" ht="15.75" customHeight="1">
      <c r="A89" s="1220"/>
      <c r="B89" s="1220"/>
      <c r="C89" s="1221"/>
      <c r="D89" s="1221"/>
      <c r="E89" s="1221"/>
      <c r="F89" s="1221"/>
      <c r="G89" s="1221"/>
      <c r="H89" s="1221"/>
    </row>
    <row r="90" spans="1:8" ht="14.25" customHeight="1">
      <c r="A90" s="1220"/>
      <c r="B90" s="1220"/>
      <c r="C90" s="1191" t="s">
        <v>981</v>
      </c>
      <c r="D90" s="1191"/>
      <c r="E90" s="1222" t="s">
        <v>982</v>
      </c>
      <c r="F90" s="1222"/>
      <c r="G90" s="1213" t="s">
        <v>983</v>
      </c>
      <c r="H90" s="1213"/>
    </row>
    <row r="91" spans="1:8" ht="13.5" customHeight="1">
      <c r="A91" s="1220"/>
      <c r="B91" s="1220"/>
      <c r="C91" s="1191"/>
      <c r="D91" s="1191"/>
      <c r="E91" s="1222"/>
      <c r="F91" s="1222"/>
      <c r="G91" s="1213"/>
      <c r="H91" s="1213"/>
    </row>
    <row r="92" spans="1:8" ht="12" customHeight="1">
      <c r="A92" s="1220"/>
      <c r="B92" s="1220"/>
      <c r="C92" s="1191"/>
      <c r="D92" s="1191"/>
      <c r="E92" s="1221" t="s">
        <v>136</v>
      </c>
      <c r="F92" s="1221"/>
      <c r="G92" s="1213"/>
      <c r="H92" s="1213"/>
    </row>
    <row r="93" spans="1:8" ht="13.5" customHeight="1">
      <c r="A93" s="720" t="s">
        <v>984</v>
      </c>
      <c r="B93" s="721"/>
      <c r="C93" s="1223"/>
      <c r="D93" s="1223"/>
      <c r="E93" s="1223"/>
      <c r="F93" s="1223"/>
      <c r="G93" s="1223"/>
      <c r="H93" s="1223"/>
    </row>
    <row r="94" spans="1:8" ht="13.5" customHeight="1">
      <c r="A94" s="722" t="s">
        <v>975</v>
      </c>
      <c r="B94" s="723"/>
      <c r="C94" s="1224"/>
      <c r="D94" s="1224"/>
      <c r="E94" s="1224"/>
      <c r="F94" s="1224"/>
      <c r="G94" s="1224"/>
      <c r="H94" s="1224"/>
    </row>
    <row r="95" spans="1:8" ht="13.5" customHeight="1">
      <c r="A95" s="722" t="s">
        <v>985</v>
      </c>
      <c r="B95" s="723"/>
      <c r="C95" s="1224"/>
      <c r="D95" s="1224"/>
      <c r="E95" s="1224"/>
      <c r="F95" s="1224"/>
      <c r="G95" s="1224"/>
      <c r="H95" s="1224"/>
    </row>
    <row r="96" spans="1:8" ht="27" customHeight="1">
      <c r="A96" s="722" t="s">
        <v>986</v>
      </c>
      <c r="B96" s="723"/>
      <c r="C96" s="1224"/>
      <c r="D96" s="1224"/>
      <c r="E96" s="1224"/>
      <c r="F96" s="1224"/>
      <c r="G96" s="1224"/>
      <c r="H96" s="1224"/>
    </row>
    <row r="97" spans="1:8" ht="13.5" customHeight="1">
      <c r="A97" s="724" t="s">
        <v>987</v>
      </c>
      <c r="B97" s="725"/>
      <c r="C97" s="1225">
        <f>SUM(C93:D96)</f>
        <v>0</v>
      </c>
      <c r="D97" s="1225"/>
      <c r="E97" s="1225">
        <f>SUM(E93:F96)</f>
        <v>0</v>
      </c>
      <c r="F97" s="1225"/>
      <c r="G97" s="1225">
        <f>SUM(G93:H96)</f>
        <v>0</v>
      </c>
      <c r="H97" s="1225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220" t="s">
        <v>988</v>
      </c>
      <c r="B99" s="1220"/>
      <c r="C99" s="1213" t="s">
        <v>989</v>
      </c>
      <c r="D99" s="1213"/>
      <c r="E99" s="1213"/>
      <c r="F99" s="1213"/>
      <c r="G99" s="1213"/>
      <c r="H99" s="1213"/>
    </row>
    <row r="100" spans="1:8" ht="15.75" customHeight="1">
      <c r="A100" s="1220"/>
      <c r="B100" s="1220"/>
      <c r="C100" s="1213"/>
      <c r="D100" s="1213"/>
      <c r="E100" s="1213"/>
      <c r="F100" s="1213"/>
      <c r="G100" s="1213"/>
      <c r="H100" s="1213"/>
    </row>
    <row r="101" spans="1:8" ht="15" customHeight="1">
      <c r="A101" s="1220"/>
      <c r="B101" s="1220"/>
      <c r="C101" s="1191" t="s">
        <v>981</v>
      </c>
      <c r="D101" s="1191"/>
      <c r="E101" s="1226" t="s">
        <v>982</v>
      </c>
      <c r="F101" s="1226"/>
      <c r="G101" s="1213" t="s">
        <v>983</v>
      </c>
      <c r="H101" s="1213"/>
    </row>
    <row r="102" spans="1:8" ht="14.25" customHeight="1">
      <c r="A102" s="1220"/>
      <c r="B102" s="1220"/>
      <c r="C102" s="1191"/>
      <c r="D102" s="1191"/>
      <c r="E102" s="1226"/>
      <c r="F102" s="1226"/>
      <c r="G102" s="1213"/>
      <c r="H102" s="1213"/>
    </row>
    <row r="103" spans="1:8" ht="12.75" customHeight="1">
      <c r="A103" s="1220"/>
      <c r="B103" s="1220"/>
      <c r="C103" s="1191"/>
      <c r="D103" s="1191"/>
      <c r="E103" s="1221" t="s">
        <v>137</v>
      </c>
      <c r="F103" s="1221"/>
      <c r="G103" s="1213"/>
      <c r="H103" s="1213"/>
    </row>
    <row r="104" spans="1:8" ht="14.25" customHeight="1">
      <c r="A104" s="720" t="s">
        <v>990</v>
      </c>
      <c r="B104" s="726"/>
      <c r="C104" s="1223"/>
      <c r="D104" s="1223"/>
      <c r="E104" s="1227"/>
      <c r="F104" s="1227"/>
      <c r="G104" s="1227"/>
      <c r="H104" s="1227"/>
    </row>
    <row r="105" spans="1:8" ht="14.25" customHeight="1">
      <c r="A105" s="722" t="s">
        <v>975</v>
      </c>
      <c r="B105" s="727"/>
      <c r="C105" s="1224"/>
      <c r="D105" s="1224"/>
      <c r="E105" s="1228"/>
      <c r="F105" s="1228"/>
      <c r="G105" s="1228"/>
      <c r="H105" s="1228"/>
    </row>
    <row r="106" spans="1:8" ht="14.25" customHeight="1">
      <c r="A106" s="722" t="s">
        <v>991</v>
      </c>
      <c r="B106" s="727"/>
      <c r="C106" s="1224"/>
      <c r="D106" s="1224"/>
      <c r="E106" s="1228"/>
      <c r="F106" s="1228"/>
      <c r="G106" s="1228"/>
      <c r="H106" s="1228"/>
    </row>
    <row r="107" spans="1:8" ht="24.75" customHeight="1">
      <c r="A107" s="722" t="s">
        <v>992</v>
      </c>
      <c r="B107" s="727"/>
      <c r="C107" s="1224"/>
      <c r="D107" s="1224"/>
      <c r="E107" s="1228"/>
      <c r="F107" s="1228"/>
      <c r="G107" s="1228"/>
      <c r="H107" s="1228"/>
    </row>
    <row r="108" spans="1:8" ht="12.75" customHeight="1">
      <c r="A108" s="1229" t="s">
        <v>993</v>
      </c>
      <c r="B108" s="1229"/>
      <c r="C108" s="1225">
        <f>SUM(C104:D107)</f>
        <v>0</v>
      </c>
      <c r="D108" s="1225"/>
      <c r="E108" s="1225">
        <f>SUM(E104:F107)</f>
        <v>0</v>
      </c>
      <c r="F108" s="1225"/>
      <c r="G108" s="1225">
        <f>SUM(G104:H107)</f>
        <v>0</v>
      </c>
      <c r="H108" s="1225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939</v>
      </c>
      <c r="B110" s="1191" t="s">
        <v>123</v>
      </c>
      <c r="C110" s="1191" t="s">
        <v>124</v>
      </c>
      <c r="D110" s="1192" t="s">
        <v>125</v>
      </c>
      <c r="E110" s="1192"/>
      <c r="F110" s="1192" t="s">
        <v>126</v>
      </c>
      <c r="G110" s="1192"/>
      <c r="H110" s="1207" t="s">
        <v>940</v>
      </c>
    </row>
    <row r="111" spans="1:8" ht="14.25" customHeight="1">
      <c r="A111" s="730" t="s">
        <v>994</v>
      </c>
      <c r="B111" s="1191"/>
      <c r="C111" s="1191"/>
      <c r="D111" s="627" t="s">
        <v>38</v>
      </c>
      <c r="E111" s="731" t="s">
        <v>37</v>
      </c>
      <c r="F111" s="627" t="s">
        <v>38</v>
      </c>
      <c r="G111" s="731" t="s">
        <v>37</v>
      </c>
      <c r="H111" s="1207"/>
    </row>
    <row r="112" spans="1:8" ht="21.75" customHeight="1">
      <c r="A112" s="656"/>
      <c r="B112" s="1191"/>
      <c r="C112" s="1191"/>
      <c r="D112" s="658" t="s">
        <v>995</v>
      </c>
      <c r="E112" s="732" t="s">
        <v>996</v>
      </c>
      <c r="F112" s="658" t="s">
        <v>997</v>
      </c>
      <c r="G112" s="732" t="s">
        <v>998</v>
      </c>
      <c r="H112" s="1207"/>
    </row>
    <row r="113" spans="1:8" ht="14.25" customHeight="1">
      <c r="A113" s="641" t="s">
        <v>255</v>
      </c>
      <c r="B113" s="638">
        <v>1858000</v>
      </c>
      <c r="C113" s="638">
        <v>2091348.13</v>
      </c>
      <c r="D113" s="635">
        <v>1304868.24</v>
      </c>
      <c r="E113" s="51">
        <f aca="true" t="shared" si="7" ref="E113:E119">IF($D$120="",0,IF($D$120=0,0,D113/$D$120))</f>
        <v>0.2664344909245975</v>
      </c>
      <c r="F113" s="635">
        <v>527921.48</v>
      </c>
      <c r="G113" s="51">
        <f aca="true" t="shared" si="8" ref="G113:G119">IF($F$120="",0,IF($F$120=0,0,F113/$F$120))</f>
        <v>0.23571665847622933</v>
      </c>
      <c r="H113" s="733">
        <v>776946.76</v>
      </c>
    </row>
    <row r="114" spans="1:8" ht="14.25" customHeight="1">
      <c r="A114" s="641" t="s">
        <v>256</v>
      </c>
      <c r="B114" s="638">
        <v>1960000</v>
      </c>
      <c r="C114" s="638">
        <v>2164574.52</v>
      </c>
      <c r="D114" s="635">
        <v>1700960.61</v>
      </c>
      <c r="E114" s="51">
        <f t="shared" si="7"/>
        <v>0.34731060218627346</v>
      </c>
      <c r="F114" s="683">
        <v>934987.75</v>
      </c>
      <c r="G114" s="51">
        <f t="shared" si="8"/>
        <v>0.41747153032342627</v>
      </c>
      <c r="H114" s="669">
        <v>765972.86</v>
      </c>
    </row>
    <row r="115" spans="1:8" ht="14.25" customHeight="1">
      <c r="A115" s="641" t="s">
        <v>257</v>
      </c>
      <c r="B115" s="638"/>
      <c r="C115" s="638"/>
      <c r="D115" s="635"/>
      <c r="E115" s="51">
        <f t="shared" si="7"/>
        <v>0</v>
      </c>
      <c r="F115" s="683"/>
      <c r="G115" s="51">
        <f t="shared" si="8"/>
        <v>0</v>
      </c>
      <c r="H115" s="669"/>
    </row>
    <row r="116" spans="1:8" ht="14.25" customHeight="1">
      <c r="A116" s="641" t="s">
        <v>258</v>
      </c>
      <c r="B116" s="638"/>
      <c r="C116" s="638"/>
      <c r="D116" s="635"/>
      <c r="E116" s="51">
        <f t="shared" si="7"/>
        <v>0</v>
      </c>
      <c r="F116" s="683"/>
      <c r="G116" s="51">
        <f t="shared" si="8"/>
        <v>0</v>
      </c>
      <c r="H116" s="669"/>
    </row>
    <row r="117" spans="1:8" ht="14.25" customHeight="1">
      <c r="A117" s="641" t="s">
        <v>259</v>
      </c>
      <c r="B117" s="638">
        <v>220000</v>
      </c>
      <c r="C117" s="638">
        <v>233848.61</v>
      </c>
      <c r="D117" s="635">
        <v>101288.62</v>
      </c>
      <c r="E117" s="51">
        <f t="shared" si="7"/>
        <v>0.020681614494774583</v>
      </c>
      <c r="F117" s="683">
        <v>101288.62</v>
      </c>
      <c r="G117" s="51">
        <f t="shared" si="8"/>
        <v>0.04522531465866585</v>
      </c>
      <c r="H117" s="669"/>
    </row>
    <row r="118" spans="1:8" ht="14.25" customHeight="1">
      <c r="A118" s="641" t="s">
        <v>260</v>
      </c>
      <c r="B118" s="638"/>
      <c r="C118" s="638"/>
      <c r="D118" s="635"/>
      <c r="E118" s="51">
        <f t="shared" si="7"/>
        <v>0</v>
      </c>
      <c r="F118" s="683"/>
      <c r="G118" s="51">
        <f t="shared" si="8"/>
        <v>0</v>
      </c>
      <c r="H118" s="669"/>
    </row>
    <row r="119" spans="1:8" ht="14.25" customHeight="1">
      <c r="A119" s="719" t="s">
        <v>999</v>
      </c>
      <c r="B119" s="734">
        <v>750000</v>
      </c>
      <c r="C119" s="734">
        <v>2033911.5</v>
      </c>
      <c r="D119" s="635">
        <v>1790402.5</v>
      </c>
      <c r="E119" s="51">
        <f t="shared" si="7"/>
        <v>0.3655732923943544</v>
      </c>
      <c r="F119" s="683">
        <v>675446.49</v>
      </c>
      <c r="G119" s="51">
        <f t="shared" si="8"/>
        <v>0.3015864965416786</v>
      </c>
      <c r="H119" s="670">
        <v>1114956.01</v>
      </c>
    </row>
    <row r="120" spans="1:8" ht="14.25" customHeight="1">
      <c r="A120" s="650" t="s">
        <v>1000</v>
      </c>
      <c r="B120" s="651">
        <f>SUM(B113:B119)</f>
        <v>4788000</v>
      </c>
      <c r="C120" s="651">
        <f>SUM(C113:C119)</f>
        <v>6523682.760000001</v>
      </c>
      <c r="D120" s="651">
        <f>SUM(D113:D119)</f>
        <v>4897519.970000001</v>
      </c>
      <c r="E120" s="735"/>
      <c r="F120" s="651">
        <f>SUM(F113:F119)</f>
        <v>2239644.34</v>
      </c>
      <c r="G120" s="735"/>
      <c r="H120" s="736">
        <f>SUM(H113:H119)</f>
        <v>2657875.63</v>
      </c>
    </row>
    <row r="121" spans="1:8" ht="14.25" customHeight="1">
      <c r="A121" s="1230" t="s">
        <v>658</v>
      </c>
      <c r="B121" s="1230"/>
      <c r="C121" s="1230"/>
      <c r="D121" s="1230"/>
      <c r="E121" s="1230"/>
      <c r="F121" s="1230"/>
      <c r="G121" s="1230"/>
      <c r="H121" s="1230"/>
    </row>
    <row r="122" spans="1:7" ht="14.25" customHeight="1">
      <c r="A122" s="641" t="s">
        <v>1001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1002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1003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1004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1005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1006</v>
      </c>
      <c r="B127" s="621"/>
      <c r="C127" s="621"/>
      <c r="D127" s="621"/>
      <c r="E127" s="621"/>
      <c r="F127" s="621"/>
      <c r="G127" s="621"/>
    </row>
    <row r="128" spans="1:3" ht="12.75" customHeight="1">
      <c r="A128" s="1231" t="s">
        <v>1007</v>
      </c>
      <c r="B128" s="1231"/>
      <c r="C128" s="1231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1008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32" t="str">
        <f>+'Informações Iniciais'!A1:B1</f>
        <v>ESTADO DO MARANHÃO - MUNICÍPIO DE SÃO FRANCISCO DO BREJÃO</v>
      </c>
      <c r="B3" s="1232"/>
      <c r="C3" s="1232"/>
      <c r="D3" s="1232"/>
      <c r="E3" s="1232"/>
      <c r="F3" s="1232"/>
      <c r="G3" s="1232"/>
    </row>
    <row r="4" spans="1:7" ht="14.25" customHeight="1">
      <c r="A4" s="1232" t="s">
        <v>0</v>
      </c>
      <c r="B4" s="1232"/>
      <c r="C4" s="1232"/>
      <c r="D4" s="1232"/>
      <c r="E4" s="1232"/>
      <c r="F4" s="1232"/>
      <c r="G4" s="1232"/>
    </row>
    <row r="5" spans="1:7" ht="14.25" customHeight="1">
      <c r="A5" s="1233" t="s">
        <v>905</v>
      </c>
      <c r="B5" s="1233"/>
      <c r="C5" s="1233"/>
      <c r="D5" s="1233"/>
      <c r="E5" s="1233"/>
      <c r="F5" s="1233"/>
      <c r="G5" s="1233"/>
    </row>
    <row r="6" spans="1:7" ht="14.25" customHeight="1">
      <c r="A6" s="1232" t="s">
        <v>28</v>
      </c>
      <c r="B6" s="1232"/>
      <c r="C6" s="1232"/>
      <c r="D6" s="1232"/>
      <c r="E6" s="1232"/>
      <c r="F6" s="1232"/>
      <c r="G6" s="1232"/>
    </row>
    <row r="7" spans="1:7" ht="14.25" customHeight="1">
      <c r="A7" s="1232" t="str">
        <f>+'Informações Iniciais'!A5:B5</f>
        <v>3º Bimestre de 2018</v>
      </c>
      <c r="B7" s="1232"/>
      <c r="C7" s="1232"/>
      <c r="D7" s="1232"/>
      <c r="E7" s="1232"/>
      <c r="F7" s="1232"/>
      <c r="G7" s="1232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1009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1010</v>
      </c>
      <c r="B10" s="1234" t="s">
        <v>1011</v>
      </c>
      <c r="C10" s="1234"/>
      <c r="D10" s="1235" t="s">
        <v>125</v>
      </c>
      <c r="E10" s="1235"/>
      <c r="F10" s="1235" t="s">
        <v>126</v>
      </c>
      <c r="G10" s="1235"/>
      <c r="H10" s="1207" t="s">
        <v>1012</v>
      </c>
    </row>
    <row r="11" spans="1:8" ht="21.75" customHeight="1">
      <c r="A11" s="748" t="s">
        <v>818</v>
      </c>
      <c r="B11" s="1234"/>
      <c r="C11" s="1234"/>
      <c r="D11" s="749" t="s">
        <v>38</v>
      </c>
      <c r="E11" s="750" t="s">
        <v>37</v>
      </c>
      <c r="F11" s="749" t="s">
        <v>38</v>
      </c>
      <c r="G11" s="750" t="s">
        <v>37</v>
      </c>
      <c r="H11" s="1207"/>
    </row>
    <row r="12" spans="1:8" ht="14.25" customHeight="1">
      <c r="A12" s="751" t="s">
        <v>941</v>
      </c>
      <c r="B12" s="1234"/>
      <c r="C12" s="1234"/>
      <c r="D12" s="752" t="s">
        <v>40</v>
      </c>
      <c r="E12" s="753" t="s">
        <v>908</v>
      </c>
      <c r="F12" s="752" t="s">
        <v>42</v>
      </c>
      <c r="G12" s="753" t="s">
        <v>1013</v>
      </c>
      <c r="H12" s="1207"/>
    </row>
    <row r="13" spans="1:8" ht="14.25" customHeight="1">
      <c r="A13" s="754" t="s">
        <v>944</v>
      </c>
      <c r="B13" s="1197">
        <f>SUM(B14:C16)</f>
        <v>0</v>
      </c>
      <c r="C13" s="1197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199"/>
      <c r="C14" s="1199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945</v>
      </c>
      <c r="B15" s="1199"/>
      <c r="C15" s="1199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199"/>
      <c r="C16" s="1199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851</v>
      </c>
      <c r="B17" s="1200">
        <f>SUM(B18:C20)</f>
        <v>0</v>
      </c>
      <c r="C17" s="1200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946</v>
      </c>
      <c r="B18" s="1199"/>
      <c r="C18" s="1199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199"/>
      <c r="C19" s="1199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947</v>
      </c>
      <c r="B20" s="1236"/>
      <c r="C20" s="1236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1014</v>
      </c>
      <c r="B21" s="1237">
        <f>B13+B17</f>
        <v>0</v>
      </c>
      <c r="C21" s="1237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1015</v>
      </c>
    </row>
    <row r="22" spans="1:8" ht="15.75" customHeight="1">
      <c r="A22" s="1238">
        <f>IF(I21=1,"O total das DESPESAS EMPENHADAS deve coreesponder ao somatório das DESPESAS LIQUIDADAS + Inscritas em Restos a Pagar não Processados","")</f>
      </c>
      <c r="B22" s="1238"/>
      <c r="C22" s="1238"/>
      <c r="D22" s="1238"/>
      <c r="E22" s="1238"/>
      <c r="F22" s="1238"/>
      <c r="G22" s="1238"/>
      <c r="H22" s="1238"/>
    </row>
    <row r="23" spans="1:8" ht="12.75" customHeight="1">
      <c r="A23" s="1239" t="s">
        <v>950</v>
      </c>
      <c r="B23" s="1239"/>
      <c r="C23" s="1239"/>
      <c r="D23" s="1235" t="s">
        <v>125</v>
      </c>
      <c r="E23" s="1235"/>
      <c r="F23" s="1235" t="s">
        <v>126</v>
      </c>
      <c r="G23" s="1235"/>
      <c r="H23" s="1240" t="s">
        <v>1012</v>
      </c>
    </row>
    <row r="24" spans="1:8" ht="21.75" customHeight="1">
      <c r="A24" s="1239"/>
      <c r="B24" s="1239"/>
      <c r="C24" s="1239"/>
      <c r="D24" s="762" t="s">
        <v>38</v>
      </c>
      <c r="E24" s="763" t="s">
        <v>37</v>
      </c>
      <c r="F24" s="762" t="s">
        <v>38</v>
      </c>
      <c r="G24" s="763" t="s">
        <v>37</v>
      </c>
      <c r="H24" s="1240"/>
    </row>
    <row r="25" spans="1:8" ht="14.25" customHeight="1">
      <c r="A25" s="1239"/>
      <c r="B25" s="1239"/>
      <c r="C25" s="1239"/>
      <c r="D25" s="752" t="s">
        <v>130</v>
      </c>
      <c r="E25" s="753" t="s">
        <v>1016</v>
      </c>
      <c r="F25" s="752" t="s">
        <v>132</v>
      </c>
      <c r="G25" s="753" t="s">
        <v>1017</v>
      </c>
      <c r="H25" s="1240"/>
    </row>
    <row r="26" spans="1:8" ht="14.25" customHeight="1">
      <c r="A26" s="764" t="s">
        <v>954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955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956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957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958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959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41" t="s">
        <v>1018</v>
      </c>
      <c r="B32" s="1241"/>
      <c r="C32" s="1241"/>
      <c r="D32" s="634"/>
      <c r="E32" s="634"/>
      <c r="F32" s="634"/>
      <c r="G32" s="634"/>
      <c r="H32" s="634"/>
    </row>
    <row r="33" spans="1:8" ht="12.75" customHeight="1">
      <c r="A33" s="1241" t="s">
        <v>1019</v>
      </c>
      <c r="B33" s="1241"/>
      <c r="C33" s="1241"/>
      <c r="D33" s="634"/>
      <c r="E33" s="634"/>
      <c r="F33" s="634"/>
      <c r="G33" s="634"/>
      <c r="H33" s="634"/>
    </row>
    <row r="34" spans="1:8" ht="24" customHeight="1">
      <c r="A34" s="1242" t="s">
        <v>1020</v>
      </c>
      <c r="B34" s="1242"/>
      <c r="C34" s="1242"/>
      <c r="D34" s="634"/>
      <c r="E34" s="634"/>
      <c r="F34" s="634"/>
      <c r="G34" s="634"/>
      <c r="H34" s="634"/>
    </row>
    <row r="35" spans="1:9" ht="16.5" customHeight="1">
      <c r="A35" s="769" t="s">
        <v>1021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8">
        <f>IF(I35=1,"O total das DESPESAS EMPENHADAS deve coreesponder ao somatório das DESPESAS LIQUIDADAS + Inscritas em Restos a Pagar não Processados","")</f>
      </c>
      <c r="B36" s="1238"/>
      <c r="C36" s="1238"/>
      <c r="D36" s="1238"/>
      <c r="E36" s="1238"/>
      <c r="F36" s="1238"/>
      <c r="G36" s="1238"/>
      <c r="H36" s="1238"/>
    </row>
    <row r="37" spans="1:8" ht="22.5" customHeight="1">
      <c r="A37" s="772" t="s">
        <v>1022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34" t="s">
        <v>840</v>
      </c>
      <c r="B38" s="1134"/>
      <c r="C38" s="1134"/>
      <c r="D38" s="756"/>
      <c r="E38" s="756"/>
      <c r="F38" s="742"/>
      <c r="G38" s="742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1023</v>
      </c>
      <c r="B1" s="778"/>
      <c r="C1" s="778"/>
    </row>
    <row r="3" spans="1:13" ht="11.25" customHeight="1">
      <c r="A3" s="1243" t="str">
        <f>+'Informações Iniciais'!A1:B1</f>
        <v>ESTADO DO MARANHÃO - MUNICÍPIO DE SÃO FRANCISCO DO BREJÃO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779"/>
    </row>
    <row r="4" spans="1:13" ht="11.25" customHeight="1">
      <c r="A4" s="1243" t="s">
        <v>0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779"/>
    </row>
    <row r="5" spans="1:13" ht="12.75" customHeight="1">
      <c r="A5" s="1244" t="s">
        <v>1024</v>
      </c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779"/>
    </row>
    <row r="6" spans="1:13" ht="11.25" customHeight="1">
      <c r="A6" s="1243" t="s">
        <v>28</v>
      </c>
      <c r="B6" s="1243"/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779"/>
    </row>
    <row r="7" spans="1:13" ht="11.25" customHeight="1">
      <c r="A7" s="1243" t="str">
        <f>+'Informações Iniciais'!A5:B5</f>
        <v>3º Bimestre de 2018</v>
      </c>
      <c r="B7" s="1243"/>
      <c r="C7" s="1243"/>
      <c r="D7" s="1243"/>
      <c r="E7" s="1243"/>
      <c r="F7" s="1243"/>
      <c r="G7" s="1243"/>
      <c r="H7" s="1243"/>
      <c r="I7" s="1243"/>
      <c r="J7" s="1243"/>
      <c r="K7" s="1243"/>
      <c r="L7" s="1243"/>
      <c r="M7" s="779"/>
    </row>
    <row r="8" spans="1:13" ht="15.75" customHeight="1">
      <c r="A8" s="1245">
        <f>IF(M8&gt;0,"ERRO!!!  Em alguma linha o saldo 'Até o bimestre' está menor que o valor 'No bimestre'. Verifique!!!","")</f>
      </c>
      <c r="B8" s="1245"/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779">
        <f>SUM(M12:M21)</f>
        <v>0</v>
      </c>
    </row>
    <row r="9" spans="1:13" ht="11.25" customHeight="1">
      <c r="A9" s="1246" t="s">
        <v>1025</v>
      </c>
      <c r="B9" s="1246"/>
      <c r="C9" s="1246"/>
      <c r="D9" s="1246"/>
      <c r="E9" s="1247"/>
      <c r="F9" s="1247"/>
      <c r="G9" s="1247"/>
      <c r="H9" s="780"/>
      <c r="I9" s="1248"/>
      <c r="J9" s="1248"/>
      <c r="K9" s="1249" t="s">
        <v>30</v>
      </c>
      <c r="L9" s="1249"/>
      <c r="M9" s="779"/>
    </row>
    <row r="10" spans="1:15" s="784" customFormat="1" ht="11.25" customHeight="1">
      <c r="A10" s="1250" t="s">
        <v>1026</v>
      </c>
      <c r="B10" s="1251" t="s">
        <v>1027</v>
      </c>
      <c r="C10" s="1251"/>
      <c r="D10" s="1251"/>
      <c r="E10" s="1252" t="s">
        <v>1028</v>
      </c>
      <c r="F10" s="1252"/>
      <c r="G10" s="1252"/>
      <c r="H10" s="1252"/>
      <c r="I10" s="1252"/>
      <c r="J10" s="781" t="str">
        <f>RIGHT('Informações Iniciais'!IV5,4)</f>
        <v>2018</v>
      </c>
      <c r="K10" s="782"/>
      <c r="L10" s="782"/>
      <c r="M10" s="783"/>
      <c r="O10" s="784" t="s">
        <v>1029</v>
      </c>
    </row>
    <row r="11" spans="1:13" s="784" customFormat="1" ht="11.25" customHeight="1">
      <c r="A11" s="1250"/>
      <c r="B11" s="1253" t="str">
        <f>CONCATENATE(O10,(J10-1))</f>
        <v>31 DE DEZEMBRO DE 2017</v>
      </c>
      <c r="C11" s="1253"/>
      <c r="D11" s="1253"/>
      <c r="E11" s="1254" t="s">
        <v>1030</v>
      </c>
      <c r="F11" s="1254"/>
      <c r="G11" s="1254"/>
      <c r="H11" s="1254"/>
      <c r="I11" s="1255" t="s">
        <v>1031</v>
      </c>
      <c r="J11" s="1255"/>
      <c r="K11" s="1255"/>
      <c r="L11" s="1255"/>
      <c r="M11" s="783"/>
    </row>
    <row r="12" spans="1:13" s="784" customFormat="1" ht="11.25" customHeight="1">
      <c r="A12" s="785" t="s">
        <v>1032</v>
      </c>
      <c r="B12" s="1256">
        <f>+B13</f>
        <v>0</v>
      </c>
      <c r="C12" s="1256"/>
      <c r="D12" s="1256"/>
      <c r="E12" s="1257">
        <f>+E13</f>
        <v>0</v>
      </c>
      <c r="F12" s="1257"/>
      <c r="G12" s="1257"/>
      <c r="H12" s="1257"/>
      <c r="I12" s="1258">
        <f>+I13</f>
        <v>0</v>
      </c>
      <c r="J12" s="1258"/>
      <c r="K12" s="1258"/>
      <c r="L12" s="1258"/>
      <c r="M12" s="783">
        <f>IF(E12&gt;I12,1,0)</f>
        <v>0</v>
      </c>
    </row>
    <row r="13" spans="1:13" s="784" customFormat="1" ht="11.25" customHeight="1">
      <c r="A13" s="786" t="s">
        <v>1033</v>
      </c>
      <c r="B13" s="1259"/>
      <c r="C13" s="1259"/>
      <c r="D13" s="1259"/>
      <c r="E13" s="1260"/>
      <c r="F13" s="1260"/>
      <c r="G13" s="1260"/>
      <c r="H13" s="1260"/>
      <c r="I13" s="1261"/>
      <c r="J13" s="1261"/>
      <c r="K13" s="1261"/>
      <c r="L13" s="1261"/>
      <c r="M13" s="783"/>
    </row>
    <row r="14" spans="1:13" s="784" customFormat="1" ht="11.25" customHeight="1">
      <c r="A14" s="787" t="s">
        <v>1034</v>
      </c>
      <c r="B14" s="1262">
        <f>SUM(B15:D17)</f>
        <v>0</v>
      </c>
      <c r="C14" s="1262"/>
      <c r="D14" s="1262"/>
      <c r="E14" s="1263">
        <f>SUM(E15:H17)</f>
        <v>0</v>
      </c>
      <c r="F14" s="1263"/>
      <c r="G14" s="1263"/>
      <c r="H14" s="1263"/>
      <c r="I14" s="1264">
        <f>SUM(I15:L17)</f>
        <v>0</v>
      </c>
      <c r="J14" s="1264"/>
      <c r="K14" s="1264"/>
      <c r="L14" s="1264"/>
      <c r="M14" s="783">
        <f>IF(E14&gt;I14,1,0)</f>
        <v>0</v>
      </c>
    </row>
    <row r="15" spans="1:13" s="784" customFormat="1" ht="11.25" customHeight="1">
      <c r="A15" s="788" t="s">
        <v>1035</v>
      </c>
      <c r="B15" s="1259"/>
      <c r="C15" s="1259"/>
      <c r="D15" s="1259"/>
      <c r="E15" s="1265"/>
      <c r="F15" s="1265"/>
      <c r="G15" s="1265"/>
      <c r="H15" s="1265"/>
      <c r="I15" s="1261"/>
      <c r="J15" s="1261"/>
      <c r="K15" s="1261"/>
      <c r="L15" s="1261"/>
      <c r="M15" s="783"/>
    </row>
    <row r="16" spans="1:13" s="784" customFormat="1" ht="11.25" customHeight="1">
      <c r="A16" s="788" t="s">
        <v>1036</v>
      </c>
      <c r="B16" s="1259"/>
      <c r="C16" s="1259"/>
      <c r="D16" s="1259"/>
      <c r="E16" s="1265"/>
      <c r="F16" s="1265"/>
      <c r="G16" s="1265"/>
      <c r="H16" s="1265"/>
      <c r="I16" s="1261"/>
      <c r="J16" s="1261"/>
      <c r="K16" s="1261"/>
      <c r="L16" s="1261"/>
      <c r="M16" s="783"/>
    </row>
    <row r="17" spans="1:13" s="784" customFormat="1" ht="11.25" customHeight="1">
      <c r="A17" s="789" t="s">
        <v>1037</v>
      </c>
      <c r="B17" s="1266"/>
      <c r="C17" s="1266"/>
      <c r="D17" s="1266"/>
      <c r="E17" s="1260"/>
      <c r="F17" s="1260"/>
      <c r="G17" s="1260"/>
      <c r="H17" s="1260"/>
      <c r="I17" s="1267"/>
      <c r="J17" s="1267"/>
      <c r="K17" s="1267"/>
      <c r="L17" s="1267"/>
      <c r="M17" s="783"/>
    </row>
    <row r="18" spans="1:13" s="784" customFormat="1" ht="11.25" customHeight="1">
      <c r="A18" s="787" t="s">
        <v>1038</v>
      </c>
      <c r="B18" s="1262">
        <f>SUM(B19:D21)</f>
        <v>0</v>
      </c>
      <c r="C18" s="1262"/>
      <c r="D18" s="1262"/>
      <c r="E18" s="1263">
        <f>SUM(E19:H21)</f>
        <v>0</v>
      </c>
      <c r="F18" s="1263"/>
      <c r="G18" s="1263"/>
      <c r="H18" s="1263"/>
      <c r="I18" s="1264">
        <f>SUM(I19:L21)</f>
        <v>0</v>
      </c>
      <c r="J18" s="1264"/>
      <c r="K18" s="1264"/>
      <c r="L18" s="1264"/>
      <c r="M18" s="783">
        <f>IF(E18&gt;I18,1,0)</f>
        <v>0</v>
      </c>
    </row>
    <row r="19" spans="1:13" s="784" customFormat="1" ht="11.25" customHeight="1">
      <c r="A19" s="788" t="s">
        <v>1039</v>
      </c>
      <c r="B19" s="1259"/>
      <c r="C19" s="1259"/>
      <c r="D19" s="1259"/>
      <c r="E19" s="1265"/>
      <c r="F19" s="1265"/>
      <c r="G19" s="1265"/>
      <c r="H19" s="1265"/>
      <c r="I19" s="1261"/>
      <c r="J19" s="1261"/>
      <c r="K19" s="1261"/>
      <c r="L19" s="1261"/>
      <c r="M19" s="783"/>
    </row>
    <row r="20" spans="1:13" s="784" customFormat="1" ht="11.25" customHeight="1">
      <c r="A20" s="788" t="s">
        <v>1040</v>
      </c>
      <c r="B20" s="1268"/>
      <c r="C20" s="1268"/>
      <c r="D20" s="1268"/>
      <c r="E20" s="1268"/>
      <c r="F20" s="1268"/>
      <c r="G20" s="1268"/>
      <c r="H20" s="1268"/>
      <c r="I20" s="1269"/>
      <c r="J20" s="1269"/>
      <c r="K20" s="1269"/>
      <c r="L20" s="1269"/>
      <c r="M20" s="783"/>
    </row>
    <row r="21" spans="1:13" s="784" customFormat="1" ht="11.25" customHeight="1">
      <c r="A21" s="789" t="s">
        <v>1041</v>
      </c>
      <c r="B21" s="1259"/>
      <c r="C21" s="1259"/>
      <c r="D21" s="1259"/>
      <c r="E21" s="1260"/>
      <c r="F21" s="1260"/>
      <c r="G21" s="1260"/>
      <c r="H21" s="1260"/>
      <c r="I21" s="1261"/>
      <c r="J21" s="1261"/>
      <c r="K21" s="1261"/>
      <c r="L21" s="1261"/>
      <c r="M21" s="783"/>
    </row>
    <row r="22" spans="1:12" ht="3" customHeight="1">
      <c r="A22" s="1270"/>
      <c r="B22" s="1270"/>
      <c r="C22" s="1270"/>
      <c r="D22" s="1270"/>
      <c r="E22" s="1270"/>
      <c r="F22" s="1270"/>
      <c r="G22" s="1270"/>
      <c r="H22" s="1270"/>
      <c r="I22" s="1270"/>
      <c r="J22" s="1270"/>
      <c r="K22" s="1270"/>
      <c r="L22" s="1270"/>
    </row>
    <row r="23" spans="1:13" s="792" customFormat="1" ht="11.25" customHeight="1">
      <c r="A23" s="790"/>
      <c r="B23" s="1255" t="s">
        <v>1042</v>
      </c>
      <c r="C23" s="1255" t="s">
        <v>1043</v>
      </c>
      <c r="D23" s="1255">
        <f>+C25+1</f>
        <v>2019</v>
      </c>
      <c r="E23" s="1255">
        <f aca="true" t="shared" si="0" ref="E23:L23">+D23+1</f>
        <v>2020</v>
      </c>
      <c r="F23" s="1255">
        <f t="shared" si="0"/>
        <v>2021</v>
      </c>
      <c r="G23" s="1255">
        <f t="shared" si="0"/>
        <v>2022</v>
      </c>
      <c r="H23" s="1255">
        <f t="shared" si="0"/>
        <v>2023</v>
      </c>
      <c r="I23" s="1255">
        <f t="shared" si="0"/>
        <v>2024</v>
      </c>
      <c r="J23" s="1255">
        <f t="shared" si="0"/>
        <v>2025</v>
      </c>
      <c r="K23" s="1255">
        <f t="shared" si="0"/>
        <v>2026</v>
      </c>
      <c r="L23" s="1255">
        <f t="shared" si="0"/>
        <v>2027</v>
      </c>
      <c r="M23" s="791"/>
    </row>
    <row r="24" spans="1:13" ht="11.25" customHeight="1">
      <c r="A24" s="793" t="s">
        <v>1044</v>
      </c>
      <c r="B24" s="1255"/>
      <c r="C24" s="1255"/>
      <c r="D24" s="1255"/>
      <c r="E24" s="1255"/>
      <c r="F24" s="1255"/>
      <c r="G24" s="1255"/>
      <c r="H24" s="1255"/>
      <c r="I24" s="1255"/>
      <c r="J24" s="1255"/>
      <c r="K24" s="1255"/>
      <c r="L24" s="1255"/>
      <c r="M24" s="791"/>
    </row>
    <row r="25" spans="1:13" ht="14.25" customHeight="1">
      <c r="A25" s="794"/>
      <c r="B25" s="1255"/>
      <c r="C25" s="795" t="str">
        <f>+J10</f>
        <v>2018</v>
      </c>
      <c r="D25" s="1255"/>
      <c r="E25" s="1255"/>
      <c r="F25" s="1255"/>
      <c r="G25" s="1255"/>
      <c r="H25" s="1255"/>
      <c r="I25" s="1255"/>
      <c r="J25" s="1255"/>
      <c r="K25" s="1255"/>
      <c r="L25" s="1255"/>
      <c r="M25" s="791"/>
    </row>
    <row r="26" spans="1:13" ht="11.25" customHeight="1">
      <c r="A26" s="778" t="s">
        <v>1045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1046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1046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1047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1046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1046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1048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1049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1050</v>
      </c>
      <c r="B34" s="801"/>
      <c r="C34" s="799">
        <f>IF(M34&gt;0,M34,0)</f>
        <v>22424517.889999993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22424517.889999993</v>
      </c>
    </row>
    <row r="35" spans="1:13" ht="11.25" customHeight="1">
      <c r="A35" s="778" t="s">
        <v>1051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1052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71" t="s">
        <v>631</v>
      </c>
      <c r="B37" s="1271"/>
      <c r="C37" s="1271"/>
      <c r="D37" s="1271"/>
      <c r="E37" s="1271"/>
      <c r="F37" s="1271"/>
      <c r="G37" s="1271"/>
      <c r="H37" s="1271"/>
      <c r="I37" s="1271"/>
      <c r="J37" s="1271"/>
      <c r="K37" s="1271"/>
      <c r="L37" s="1271"/>
      <c r="M37" s="806"/>
    </row>
    <row r="38" spans="1:13" ht="31.5" customHeight="1">
      <c r="A38" s="1272" t="s">
        <v>159</v>
      </c>
      <c r="B38" s="1272"/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808"/>
    </row>
    <row r="39" spans="1:12" ht="20.25" customHeight="1">
      <c r="A39" s="1273" t="s">
        <v>1053</v>
      </c>
      <c r="B39" s="1273"/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</row>
  </sheetData>
  <sheetProtection password="F3F6" sheet="1"/>
  <mergeCells count="61"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I21:L21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120" zoomScaleNormal="120" zoomScalePageLayoutView="0" workbookViewId="0" topLeftCell="A75">
      <selection activeCell="D89" sqref="D89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74" t="s">
        <v>1054</v>
      </c>
      <c r="B1" s="1274"/>
      <c r="C1" s="1274"/>
      <c r="D1" s="1274"/>
      <c r="E1" s="1274"/>
    </row>
    <row r="2" ht="11.25" customHeight="1">
      <c r="A2" s="810"/>
    </row>
    <row r="3" spans="1:5" ht="11.25" customHeight="1">
      <c r="A3" s="1156" t="str">
        <f>+'Informações Iniciais'!A1</f>
        <v>ESTADO DO MARANHÃO - MUNICÍPIO DE SÃO FRANCISCO DO BREJÃO</v>
      </c>
      <c r="B3" s="1156"/>
      <c r="C3" s="1156"/>
      <c r="D3" s="1156"/>
      <c r="E3" s="1156"/>
    </row>
    <row r="4" spans="1:5" ht="11.25" customHeight="1">
      <c r="A4" s="1157" t="s">
        <v>1055</v>
      </c>
      <c r="B4" s="1157"/>
      <c r="C4" s="1157"/>
      <c r="D4" s="1157"/>
      <c r="E4" s="1157"/>
    </row>
    <row r="5" spans="1:5" ht="11.25" customHeight="1">
      <c r="A5" s="1156" t="s">
        <v>28</v>
      </c>
      <c r="B5" s="1156"/>
      <c r="C5" s="1156"/>
      <c r="D5" s="1156"/>
      <c r="E5" s="1156"/>
    </row>
    <row r="6" spans="1:5" ht="11.25" customHeight="1">
      <c r="A6" s="1156" t="str">
        <f>+'Informações Iniciais'!A5</f>
        <v>3º Bimestre de 2018</v>
      </c>
      <c r="B6" s="1156"/>
      <c r="C6" s="1156"/>
      <c r="D6" s="1156"/>
      <c r="E6" s="1156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1056</v>
      </c>
      <c r="E8" s="812" t="s">
        <v>30</v>
      </c>
    </row>
    <row r="9" spans="1:5" s="815" customFormat="1" ht="21" customHeight="1">
      <c r="A9" s="813" t="s">
        <v>27</v>
      </c>
      <c r="B9" s="1275" t="s">
        <v>38</v>
      </c>
      <c r="C9" s="1275"/>
      <c r="D9" s="1275"/>
      <c r="E9" s="1275"/>
    </row>
    <row r="10" spans="1:5" ht="11.25" customHeight="1">
      <c r="A10" s="816" t="s">
        <v>31</v>
      </c>
      <c r="B10" s="1166"/>
      <c r="C10" s="1166"/>
      <c r="D10" s="1166"/>
      <c r="E10" s="1166"/>
    </row>
    <row r="11" spans="1:5" ht="11.25" customHeight="1">
      <c r="A11" s="817" t="s">
        <v>1057</v>
      </c>
      <c r="B11" s="1168">
        <v>35086000</v>
      </c>
      <c r="C11" s="1168"/>
      <c r="D11" s="1168"/>
      <c r="E11" s="1168"/>
    </row>
    <row r="12" spans="1:5" ht="11.25" customHeight="1">
      <c r="A12" s="817" t="s">
        <v>1058</v>
      </c>
      <c r="B12" s="1168">
        <v>35086000</v>
      </c>
      <c r="C12" s="1168"/>
      <c r="D12" s="1168"/>
      <c r="E12" s="1168"/>
    </row>
    <row r="13" spans="1:5" ht="11.25" customHeight="1">
      <c r="A13" s="817" t="s">
        <v>1059</v>
      </c>
      <c r="B13" s="1168">
        <v>11922801.56</v>
      </c>
      <c r="C13" s="1168"/>
      <c r="D13" s="1168"/>
      <c r="E13" s="1168"/>
    </row>
    <row r="14" spans="1:5" ht="11.25" customHeight="1">
      <c r="A14" s="817" t="s">
        <v>1060</v>
      </c>
      <c r="B14" s="1168"/>
      <c r="C14" s="1168"/>
      <c r="D14" s="1168"/>
      <c r="E14" s="1168"/>
    </row>
    <row r="15" spans="1:5" ht="11.25" customHeight="1">
      <c r="A15" s="817" t="s">
        <v>1061</v>
      </c>
      <c r="B15" s="1168"/>
      <c r="C15" s="1168"/>
      <c r="D15" s="1168"/>
      <c r="E15" s="1168"/>
    </row>
    <row r="16" spans="1:5" ht="11.25" customHeight="1">
      <c r="A16" s="816" t="s">
        <v>129</v>
      </c>
      <c r="B16" s="1169"/>
      <c r="C16" s="1169"/>
      <c r="D16" s="1169"/>
      <c r="E16" s="1169"/>
    </row>
    <row r="17" spans="1:5" ht="11.25" customHeight="1">
      <c r="A17" s="818" t="s">
        <v>1062</v>
      </c>
      <c r="B17" s="1168">
        <v>35086000</v>
      </c>
      <c r="C17" s="1168"/>
      <c r="D17" s="1168"/>
      <c r="E17" s="1168"/>
    </row>
    <row r="18" spans="1:5" ht="11.25" customHeight="1">
      <c r="A18" s="818" t="s">
        <v>1063</v>
      </c>
      <c r="B18" s="1168"/>
      <c r="C18" s="1168"/>
      <c r="D18" s="1168"/>
      <c r="E18" s="1168"/>
    </row>
    <row r="19" spans="1:5" ht="11.25" customHeight="1">
      <c r="A19" s="818" t="s">
        <v>1064</v>
      </c>
      <c r="B19" s="1168">
        <v>37146682.76</v>
      </c>
      <c r="C19" s="1168"/>
      <c r="D19" s="1168"/>
      <c r="E19" s="1168"/>
    </row>
    <row r="20" spans="1:5" ht="11.25" customHeight="1">
      <c r="A20" s="818" t="s">
        <v>1065</v>
      </c>
      <c r="B20" s="1168">
        <v>18513156.59</v>
      </c>
      <c r="C20" s="1168"/>
      <c r="D20" s="1168"/>
      <c r="E20" s="1168"/>
    </row>
    <row r="21" spans="1:5" ht="11.25" customHeight="1">
      <c r="A21" s="817" t="s">
        <v>1066</v>
      </c>
      <c r="B21" s="1276">
        <v>10592824.4</v>
      </c>
      <c r="C21" s="1276"/>
      <c r="D21" s="1276"/>
      <c r="E21" s="1276"/>
    </row>
    <row r="22" spans="1:5" ht="11.25" customHeight="1">
      <c r="A22" s="818" t="s">
        <v>1067</v>
      </c>
      <c r="B22" s="820"/>
      <c r="C22" s="821"/>
      <c r="D22" s="821"/>
      <c r="E22" s="819">
        <v>10544989.41</v>
      </c>
    </row>
    <row r="23" spans="1:5" ht="11.25" customHeight="1">
      <c r="A23" s="559" t="s">
        <v>1068</v>
      </c>
      <c r="B23" s="1171">
        <v>1329977.16</v>
      </c>
      <c r="C23" s="1171"/>
      <c r="D23" s="1171"/>
      <c r="E23" s="1171"/>
    </row>
    <row r="24" spans="1:5" s="815" customFormat="1" ht="21" customHeight="1">
      <c r="A24" s="813" t="s">
        <v>1069</v>
      </c>
      <c r="B24" s="1277" t="s">
        <v>38</v>
      </c>
      <c r="C24" s="1277"/>
      <c r="D24" s="1277"/>
      <c r="E24" s="1277"/>
    </row>
    <row r="25" spans="1:5" ht="11.25" customHeight="1">
      <c r="A25" s="818" t="s">
        <v>1070</v>
      </c>
      <c r="B25" s="1165">
        <v>18513156.59</v>
      </c>
      <c r="C25" s="1165"/>
      <c r="D25" s="1165"/>
      <c r="E25" s="1165"/>
    </row>
    <row r="26" spans="1:5" ht="11.25" customHeight="1">
      <c r="A26" s="822" t="s">
        <v>1071</v>
      </c>
      <c r="B26" s="1168">
        <v>10592824.4</v>
      </c>
      <c r="C26" s="1168"/>
      <c r="D26" s="1168"/>
      <c r="E26" s="1168"/>
    </row>
    <row r="27" spans="1:5" s="815" customFormat="1" ht="23.25" customHeight="1">
      <c r="A27" s="823" t="s">
        <v>1072</v>
      </c>
      <c r="B27" s="1278" t="s">
        <v>38</v>
      </c>
      <c r="C27" s="1278"/>
      <c r="D27" s="1278"/>
      <c r="E27" s="1278"/>
    </row>
    <row r="28" spans="1:5" ht="11.25" customHeight="1">
      <c r="A28" s="824" t="s">
        <v>1073</v>
      </c>
      <c r="B28" s="1279">
        <v>22424514.9</v>
      </c>
      <c r="C28" s="1279"/>
      <c r="D28" s="1279"/>
      <c r="E28" s="1279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1074</v>
      </c>
      <c r="B30" s="1275" t="s">
        <v>38</v>
      </c>
      <c r="C30" s="1275"/>
      <c r="D30" s="1275"/>
      <c r="E30" s="1275"/>
    </row>
    <row r="31" spans="1:5" s="829" customFormat="1" ht="11.25" customHeight="1">
      <c r="A31" s="828" t="s">
        <v>1075</v>
      </c>
      <c r="B31" s="1168"/>
      <c r="C31" s="1168"/>
      <c r="D31" s="1168"/>
      <c r="E31" s="1168"/>
    </row>
    <row r="32" spans="1:5" ht="11.25" customHeight="1">
      <c r="A32" s="818" t="s">
        <v>1076</v>
      </c>
      <c r="B32" s="1168"/>
      <c r="C32" s="1168"/>
      <c r="D32" s="1168"/>
      <c r="E32" s="1168"/>
    </row>
    <row r="33" spans="1:5" ht="11.25" customHeight="1">
      <c r="A33" s="818" t="s">
        <v>1077</v>
      </c>
      <c r="B33" s="1168"/>
      <c r="C33" s="1168"/>
      <c r="D33" s="1168"/>
      <c r="E33" s="1168"/>
    </row>
    <row r="34" spans="1:5" ht="11.25" customHeight="1">
      <c r="A34" s="818" t="s">
        <v>1078</v>
      </c>
      <c r="B34" s="1169">
        <f>+B32-B33</f>
        <v>0</v>
      </c>
      <c r="C34" s="1169"/>
      <c r="D34" s="1169"/>
      <c r="E34" s="1169"/>
    </row>
    <row r="35" spans="1:5" ht="11.25" customHeight="1">
      <c r="A35" s="828" t="s">
        <v>1079</v>
      </c>
      <c r="B35" s="1168"/>
      <c r="C35" s="1168"/>
      <c r="D35" s="1168"/>
      <c r="E35" s="1168"/>
    </row>
    <row r="36" spans="1:5" ht="11.25" customHeight="1">
      <c r="A36" s="818" t="s">
        <v>1076</v>
      </c>
      <c r="B36" s="1168"/>
      <c r="C36" s="1168"/>
      <c r="D36" s="1168"/>
      <c r="E36" s="1168"/>
    </row>
    <row r="37" spans="1:5" ht="11.25" customHeight="1">
      <c r="A37" s="818" t="s">
        <v>1080</v>
      </c>
      <c r="B37" s="1168"/>
      <c r="C37" s="1168"/>
      <c r="D37" s="1168"/>
      <c r="E37" s="1168"/>
    </row>
    <row r="38" spans="1:5" ht="11.25" customHeight="1">
      <c r="A38" s="559" t="s">
        <v>1078</v>
      </c>
      <c r="B38" s="1172">
        <f>+B36-B37</f>
        <v>0</v>
      </c>
      <c r="C38" s="1172"/>
      <c r="D38" s="1172"/>
      <c r="E38" s="1172"/>
    </row>
    <row r="39" ht="11.25" customHeight="1">
      <c r="E39" s="818"/>
    </row>
    <row r="40" spans="1:5" ht="11.25" customHeight="1">
      <c r="A40" s="1278" t="s">
        <v>1081</v>
      </c>
      <c r="B40" s="830" t="s">
        <v>1082</v>
      </c>
      <c r="C40" s="830" t="s">
        <v>1083</v>
      </c>
      <c r="D40" s="1277" t="s">
        <v>1084</v>
      </c>
      <c r="E40" s="1277"/>
    </row>
    <row r="41" spans="1:5" ht="11.25" customHeight="1">
      <c r="A41" s="1278"/>
      <c r="B41" s="831" t="s">
        <v>1085</v>
      </c>
      <c r="C41" s="1280" t="s">
        <v>38</v>
      </c>
      <c r="D41" s="1277"/>
      <c r="E41" s="1277"/>
    </row>
    <row r="42" spans="1:5" ht="11.25" customHeight="1">
      <c r="A42" s="1278"/>
      <c r="B42" s="831" t="s">
        <v>1086</v>
      </c>
      <c r="C42" s="1280"/>
      <c r="D42" s="1277"/>
      <c r="E42" s="1277"/>
    </row>
    <row r="43" spans="1:5" ht="11.25" customHeight="1">
      <c r="A43" s="1278"/>
      <c r="B43" s="832" t="s">
        <v>39</v>
      </c>
      <c r="C43" s="832" t="s">
        <v>40</v>
      </c>
      <c r="D43" s="1281" t="s">
        <v>41</v>
      </c>
      <c r="E43" s="1281"/>
    </row>
    <row r="44" spans="1:5" ht="11.25" customHeight="1">
      <c r="A44" s="817" t="s">
        <v>1087</v>
      </c>
      <c r="B44" s="833"/>
      <c r="C44" s="581">
        <v>-966161.34</v>
      </c>
      <c r="D44" s="1282">
        <f>IF(B44="",0,IF(B44=0,0,+C44/B44))</f>
        <v>0</v>
      </c>
      <c r="E44" s="1282"/>
    </row>
    <row r="45" spans="1:5" ht="11.25" customHeight="1">
      <c r="A45" s="822" t="s">
        <v>1088</v>
      </c>
      <c r="B45" s="834">
        <v>30161900</v>
      </c>
      <c r="C45" s="835">
        <v>959399.97</v>
      </c>
      <c r="D45" s="1283">
        <f>IF(B45="",0,IF(B45=0,0,+C45/B45))</f>
        <v>0.031808339991844015</v>
      </c>
      <c r="E45" s="1283"/>
    </row>
    <row r="47" spans="1:5" ht="11.25" customHeight="1">
      <c r="A47" s="1278" t="s">
        <v>1089</v>
      </c>
      <c r="B47" s="1275" t="s">
        <v>1090</v>
      </c>
      <c r="C47" s="830" t="s">
        <v>1091</v>
      </c>
      <c r="D47" s="836" t="s">
        <v>1092</v>
      </c>
      <c r="E47" s="830" t="s">
        <v>1093</v>
      </c>
    </row>
    <row r="48" spans="1:5" ht="11.25" customHeight="1">
      <c r="A48" s="1278"/>
      <c r="B48" s="1275"/>
      <c r="C48" s="832" t="s">
        <v>38</v>
      </c>
      <c r="D48" s="837" t="s">
        <v>38</v>
      </c>
      <c r="E48" s="832" t="s">
        <v>1094</v>
      </c>
    </row>
    <row r="49" spans="1:5" ht="11.25" customHeight="1">
      <c r="A49" s="817" t="s">
        <v>1095</v>
      </c>
      <c r="B49" s="838">
        <f>SUM(B50:B54)</f>
        <v>76094.9</v>
      </c>
      <c r="C49" s="838">
        <f>SUM(C50:C54)</f>
        <v>0</v>
      </c>
      <c r="D49" s="838">
        <f>SUM(D50:D54)</f>
        <v>0</v>
      </c>
      <c r="E49" s="838">
        <f>SUM(E50:E54)</f>
        <v>76094.9</v>
      </c>
    </row>
    <row r="50" spans="1:5" ht="11.25" customHeight="1">
      <c r="A50" s="817" t="s">
        <v>1096</v>
      </c>
      <c r="B50" s="833">
        <v>76094.9</v>
      </c>
      <c r="C50" s="833"/>
      <c r="D50" s="833"/>
      <c r="E50" s="833">
        <v>76094.9</v>
      </c>
    </row>
    <row r="51" spans="1:5" ht="11.25" customHeight="1">
      <c r="A51" s="817" t="s">
        <v>1097</v>
      </c>
      <c r="B51" s="833"/>
      <c r="C51" s="833"/>
      <c r="D51" s="833"/>
      <c r="E51" s="833"/>
    </row>
    <row r="52" spans="1:5" ht="11.25" customHeight="1">
      <c r="A52" s="817" t="s">
        <v>1098</v>
      </c>
      <c r="B52" s="833"/>
      <c r="C52" s="833"/>
      <c r="D52" s="833"/>
      <c r="E52" s="833"/>
    </row>
    <row r="53" spans="1:5" ht="11.25" customHeight="1">
      <c r="A53" s="817" t="s">
        <v>1099</v>
      </c>
      <c r="B53" s="833"/>
      <c r="C53" s="833"/>
      <c r="D53" s="833"/>
      <c r="E53" s="833"/>
    </row>
    <row r="54" spans="1:5" ht="11.25" customHeight="1">
      <c r="A54" s="817" t="s">
        <v>1100</v>
      </c>
      <c r="B54" s="833"/>
      <c r="C54" s="833"/>
      <c r="D54" s="833"/>
      <c r="E54" s="833"/>
    </row>
    <row r="55" spans="1:5" ht="11.25" customHeight="1">
      <c r="A55" s="817" t="s">
        <v>1101</v>
      </c>
      <c r="B55" s="838">
        <f>SUM(B56:B60)</f>
        <v>1443070.79</v>
      </c>
      <c r="C55" s="838">
        <f>SUM(C56:C60)</f>
        <v>0</v>
      </c>
      <c r="D55" s="838">
        <f>SUM(D56:D60)</f>
        <v>523191.5</v>
      </c>
      <c r="E55" s="838">
        <f>SUM(E56:E60)</f>
        <v>919879.29</v>
      </c>
    </row>
    <row r="56" spans="1:5" ht="11.25" customHeight="1">
      <c r="A56" s="817" t="s">
        <v>1096</v>
      </c>
      <c r="B56" s="833">
        <v>1443070.79</v>
      </c>
      <c r="C56" s="581"/>
      <c r="D56" s="581">
        <v>523191.5</v>
      </c>
      <c r="E56" s="839">
        <v>919879.29</v>
      </c>
    </row>
    <row r="57" spans="1:5" ht="11.25" customHeight="1">
      <c r="A57" s="817" t="s">
        <v>1097</v>
      </c>
      <c r="B57" s="833"/>
      <c r="C57" s="581"/>
      <c r="D57" s="581"/>
      <c r="E57" s="839"/>
    </row>
    <row r="58" spans="1:5" ht="11.25" customHeight="1">
      <c r="A58" s="817" t="s">
        <v>1098</v>
      </c>
      <c r="B58" s="833"/>
      <c r="C58" s="581"/>
      <c r="D58" s="581"/>
      <c r="E58" s="839"/>
    </row>
    <row r="59" spans="1:5" ht="11.25" customHeight="1">
      <c r="A59" s="817" t="s">
        <v>1099</v>
      </c>
      <c r="B59" s="833"/>
      <c r="C59" s="581"/>
      <c r="D59" s="840"/>
      <c r="E59" s="841"/>
    </row>
    <row r="60" spans="1:59" ht="11.25" customHeight="1">
      <c r="A60" s="817" t="s">
        <v>1100</v>
      </c>
      <c r="B60" s="833"/>
      <c r="C60" s="581"/>
      <c r="D60" s="840"/>
      <c r="E60" s="84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1000</v>
      </c>
      <c r="B61" s="843">
        <f>+B55+B49</f>
        <v>1519165.69</v>
      </c>
      <c r="C61" s="843">
        <f>+C55+C49</f>
        <v>0</v>
      </c>
      <c r="D61" s="843">
        <f>+D55+D49</f>
        <v>523191.5</v>
      </c>
      <c r="E61" s="843">
        <f>+E55+E49</f>
        <v>995974.1900000001</v>
      </c>
    </row>
    <row r="62" spans="1:5" ht="11.25" customHeight="1">
      <c r="A62" s="844"/>
      <c r="B62" s="1284" t="s">
        <v>1102</v>
      </c>
      <c r="C62" s="1285" t="s">
        <v>1103</v>
      </c>
      <c r="D62" s="1285"/>
      <c r="E62" s="1285"/>
    </row>
    <row r="63" spans="1:5" ht="11.25" customHeight="1">
      <c r="A63" s="845" t="s">
        <v>1104</v>
      </c>
      <c r="B63" s="1284"/>
      <c r="C63" s="1284" t="s">
        <v>1105</v>
      </c>
      <c r="D63" s="1275" t="s">
        <v>1106</v>
      </c>
      <c r="E63" s="1275"/>
    </row>
    <row r="64" spans="1:5" ht="11.25" customHeight="1">
      <c r="A64" s="846"/>
      <c r="B64" s="1284"/>
      <c r="C64" s="1284"/>
      <c r="D64" s="1275"/>
      <c r="E64" s="1275"/>
    </row>
    <row r="65" spans="1:5" ht="11.25" customHeight="1">
      <c r="A65" s="817" t="s">
        <v>1107</v>
      </c>
      <c r="B65" s="839">
        <v>1286013.8</v>
      </c>
      <c r="C65" s="847">
        <v>0.25</v>
      </c>
      <c r="D65" s="1286">
        <v>0.2556</v>
      </c>
      <c r="E65" s="1286"/>
    </row>
    <row r="66" spans="1:5" ht="12.75" customHeight="1">
      <c r="A66" s="817" t="s">
        <v>1108</v>
      </c>
      <c r="B66" s="839"/>
      <c r="C66" s="847">
        <v>0.6000000000000001</v>
      </c>
      <c r="D66" s="1287"/>
      <c r="E66" s="1287"/>
    </row>
    <row r="67" spans="1:5" ht="11.25" customHeight="1">
      <c r="A67" s="817" t="s">
        <v>1109</v>
      </c>
      <c r="B67" s="839">
        <v>3527112.35</v>
      </c>
      <c r="C67" s="847">
        <v>0.6000000000000001</v>
      </c>
      <c r="D67" s="1287">
        <v>0.8346</v>
      </c>
      <c r="E67" s="1287"/>
    </row>
    <row r="68" spans="1:5" ht="11.25" customHeight="1">
      <c r="A68" s="822" t="s">
        <v>1110</v>
      </c>
      <c r="B68" s="848">
        <v>2084625.46</v>
      </c>
      <c r="C68" s="849" t="s">
        <v>1111</v>
      </c>
      <c r="D68" s="1288"/>
      <c r="E68" s="1288"/>
    </row>
    <row r="69" spans="1:5" s="815" customFormat="1" ht="21.75" customHeight="1">
      <c r="A69" s="850" t="s">
        <v>1112</v>
      </c>
      <c r="B69" s="1275" t="s">
        <v>1113</v>
      </c>
      <c r="C69" s="1275"/>
      <c r="D69" s="1275" t="s">
        <v>1114</v>
      </c>
      <c r="E69" s="1275"/>
    </row>
    <row r="70" spans="1:5" ht="11.25" customHeight="1">
      <c r="A70" s="851" t="s">
        <v>1115</v>
      </c>
      <c r="B70" s="1165"/>
      <c r="C70" s="1165"/>
      <c r="D70" s="1165"/>
      <c r="E70" s="1165"/>
    </row>
    <row r="71" spans="1:5" ht="11.25" customHeight="1">
      <c r="A71" s="822" t="s">
        <v>1116</v>
      </c>
      <c r="B71" s="1171">
        <v>251593.37</v>
      </c>
      <c r="C71" s="1171"/>
      <c r="D71" s="1171">
        <v>7418733.14</v>
      </c>
      <c r="E71" s="1171"/>
    </row>
    <row r="72" spans="1:5" s="815" customFormat="1" ht="21.75" customHeight="1">
      <c r="A72" s="852" t="s">
        <v>1117</v>
      </c>
      <c r="B72" s="814" t="s">
        <v>1118</v>
      </c>
      <c r="C72" s="853" t="s">
        <v>1119</v>
      </c>
      <c r="D72" s="814" t="s">
        <v>1120</v>
      </c>
      <c r="E72" s="814" t="s">
        <v>1121</v>
      </c>
    </row>
    <row r="73" spans="1:5" ht="11.25" customHeight="1">
      <c r="A73" s="817" t="s">
        <v>1122</v>
      </c>
      <c r="B73" s="565"/>
      <c r="C73" s="565"/>
      <c r="D73" s="565"/>
      <c r="E73" s="565"/>
    </row>
    <row r="74" spans="1:5" ht="11.25" customHeight="1">
      <c r="A74" s="817" t="s">
        <v>1123</v>
      </c>
      <c r="B74" s="839"/>
      <c r="C74" s="839"/>
      <c r="D74" s="839"/>
      <c r="E74" s="839"/>
    </row>
    <row r="75" spans="1:5" ht="11.25" customHeight="1">
      <c r="A75" s="817" t="s">
        <v>1124</v>
      </c>
      <c r="B75" s="839"/>
      <c r="C75" s="839"/>
      <c r="D75" s="839"/>
      <c r="E75" s="839"/>
    </row>
    <row r="76" spans="1:5" ht="11.25" customHeight="1">
      <c r="A76" s="817" t="s">
        <v>1078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1125</v>
      </c>
      <c r="B77" s="839"/>
      <c r="C77" s="839"/>
      <c r="D77" s="839"/>
      <c r="E77" s="839"/>
    </row>
    <row r="78" spans="1:5" ht="11.25" customHeight="1">
      <c r="A78" s="817" t="s">
        <v>1123</v>
      </c>
      <c r="B78" s="839"/>
      <c r="C78" s="839"/>
      <c r="D78" s="839"/>
      <c r="E78" s="839"/>
    </row>
    <row r="79" spans="1:5" ht="11.25" customHeight="1">
      <c r="A79" s="817" t="s">
        <v>1126</v>
      </c>
      <c r="B79" s="839"/>
      <c r="C79" s="839"/>
      <c r="D79" s="839"/>
      <c r="E79" s="839"/>
    </row>
    <row r="80" spans="1:5" ht="11.25" customHeight="1">
      <c r="A80" s="817" t="s">
        <v>1078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1127</v>
      </c>
      <c r="B81" s="1275" t="s">
        <v>1128</v>
      </c>
      <c r="C81" s="1275"/>
      <c r="D81" s="1275" t="s">
        <v>1129</v>
      </c>
      <c r="E81" s="1275"/>
    </row>
    <row r="82" spans="1:5" ht="11.25" customHeight="1">
      <c r="A82" s="817" t="s">
        <v>1130</v>
      </c>
      <c r="B82" s="1165"/>
      <c r="C82" s="1165"/>
      <c r="D82" s="1165">
        <v>3000</v>
      </c>
      <c r="E82" s="1165"/>
    </row>
    <row r="83" spans="1:5" ht="11.25" customHeight="1">
      <c r="A83" s="822" t="s">
        <v>1131</v>
      </c>
      <c r="B83" s="1171"/>
      <c r="C83" s="1171"/>
      <c r="D83" s="1171">
        <v>7090704.56</v>
      </c>
      <c r="E83" s="1171"/>
    </row>
    <row r="84" spans="1:2" ht="11.25" customHeight="1">
      <c r="A84" s="559"/>
      <c r="B84" s="559"/>
    </row>
    <row r="85" spans="1:5" ht="11.25" customHeight="1">
      <c r="A85" s="1254" t="s">
        <v>1132</v>
      </c>
      <c r="B85" s="1284" t="s">
        <v>1102</v>
      </c>
      <c r="C85" s="1285" t="s">
        <v>1133</v>
      </c>
      <c r="D85" s="1285"/>
      <c r="E85" s="1285"/>
    </row>
    <row r="86" spans="1:5" ht="11.25" customHeight="1">
      <c r="A86" s="1254"/>
      <c r="B86" s="1284"/>
      <c r="C86" s="1284" t="s">
        <v>1105</v>
      </c>
      <c r="D86" s="1275" t="s">
        <v>1106</v>
      </c>
      <c r="E86" s="1275"/>
    </row>
    <row r="87" spans="1:5" ht="11.25" customHeight="1">
      <c r="A87" s="1254"/>
      <c r="B87" s="1284"/>
      <c r="C87" s="1284"/>
      <c r="D87" s="1275"/>
      <c r="E87" s="1275"/>
    </row>
    <row r="88" spans="1:5" ht="11.25" customHeight="1">
      <c r="A88" s="842" t="s">
        <v>1134</v>
      </c>
      <c r="B88" s="854">
        <v>4897519.97</v>
      </c>
      <c r="C88" s="855">
        <v>0.15</v>
      </c>
      <c r="D88" s="1289">
        <v>0.3609</v>
      </c>
      <c r="E88" s="1289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1135</v>
      </c>
      <c r="B90" s="1275" t="s">
        <v>1136</v>
      </c>
      <c r="C90" s="1275"/>
      <c r="D90" s="1275"/>
      <c r="E90" s="1275"/>
    </row>
    <row r="91" spans="1:5" ht="11.25" customHeight="1">
      <c r="A91" s="858" t="s">
        <v>1137</v>
      </c>
      <c r="B91" s="1289"/>
      <c r="C91" s="1289"/>
      <c r="D91" s="1289"/>
      <c r="E91" s="1289"/>
    </row>
    <row r="92" spans="1:21" ht="25.5" customHeight="1">
      <c r="A92" s="1290" t="s">
        <v>159</v>
      </c>
      <c r="B92" s="1290"/>
      <c r="C92" s="1290"/>
      <c r="D92" s="1290"/>
      <c r="E92" s="1290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27">
      <selection activeCell="C108" sqref="C108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867" t="str">
        <f>+'Informações Iniciais'!A1</f>
        <v>ESTADO DO MARANHÃO - MUNICÍPIO DE SÃO FRANCISCO DO BREJÃO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:12" ht="11.2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24"/>
    </row>
    <row r="5" spans="1:12" ht="11.25" customHeight="1">
      <c r="A5" s="869" t="s">
        <v>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24"/>
    </row>
    <row r="6" spans="1:12" ht="14.2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24"/>
    </row>
    <row r="7" spans="1:12" ht="11.2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871" t="s">
        <v>31</v>
      </c>
      <c r="B10" s="872" t="s">
        <v>32</v>
      </c>
      <c r="C10" s="872"/>
      <c r="D10" s="873" t="s">
        <v>33</v>
      </c>
      <c r="E10" s="873"/>
      <c r="F10" s="874" t="s">
        <v>34</v>
      </c>
      <c r="G10" s="874"/>
      <c r="H10" s="874"/>
      <c r="I10" s="874"/>
      <c r="J10" s="874"/>
      <c r="K10" s="874"/>
      <c r="L10" s="875" t="s">
        <v>35</v>
      </c>
      <c r="M10" s="34"/>
    </row>
    <row r="11" spans="1:12" ht="12.75" customHeight="1">
      <c r="A11" s="871"/>
      <c r="B11" s="872"/>
      <c r="C11" s="872"/>
      <c r="D11" s="873"/>
      <c r="E11" s="873"/>
      <c r="F11" s="876" t="s">
        <v>36</v>
      </c>
      <c r="G11" s="876"/>
      <c r="H11" s="36" t="s">
        <v>37</v>
      </c>
      <c r="I11" s="877" t="s">
        <v>38</v>
      </c>
      <c r="J11" s="877"/>
      <c r="K11" s="37" t="s">
        <v>37</v>
      </c>
      <c r="L11" s="875"/>
    </row>
    <row r="12" spans="1:12" ht="11.25" customHeight="1">
      <c r="A12" s="871"/>
      <c r="B12" s="872"/>
      <c r="C12" s="872"/>
      <c r="D12" s="878" t="s">
        <v>39</v>
      </c>
      <c r="E12" s="878"/>
      <c r="F12" s="878" t="s">
        <v>40</v>
      </c>
      <c r="G12" s="878"/>
      <c r="H12" s="39" t="s">
        <v>41</v>
      </c>
      <c r="I12" s="878" t="s">
        <v>42</v>
      </c>
      <c r="J12" s="878"/>
      <c r="K12" s="40" t="s">
        <v>43</v>
      </c>
      <c r="L12" s="38" t="s">
        <v>44</v>
      </c>
    </row>
    <row r="13" spans="1:12" ht="12.75" customHeight="1">
      <c r="A13" s="41" t="s">
        <v>45</v>
      </c>
      <c r="B13" s="879">
        <f>+B14+B54</f>
        <v>35086000</v>
      </c>
      <c r="C13" s="879"/>
      <c r="D13" s="879">
        <f>+D14+D54</f>
        <v>35086000</v>
      </c>
      <c r="E13" s="879"/>
      <c r="F13" s="879">
        <f>+F14+F54</f>
        <v>4742415.91</v>
      </c>
      <c r="G13" s="879"/>
      <c r="H13" s="42">
        <f aca="true" t="shared" si="0" ref="H13:H21">IF(D13="",0,IF(D13=0,0,+F13/D13))</f>
        <v>0.13516547654335062</v>
      </c>
      <c r="I13" s="879">
        <f>+I14+I54</f>
        <v>11922801.56</v>
      </c>
      <c r="J13" s="879"/>
      <c r="K13" s="42">
        <f aca="true" t="shared" si="1" ref="K13:K59">IF(D13="",0,IF(D13=0,0,I13/D13))</f>
        <v>0.33981649546827797</v>
      </c>
      <c r="L13" s="43">
        <f aca="true" t="shared" si="2" ref="L13:L76">+D13-I13</f>
        <v>23163198.439999998</v>
      </c>
    </row>
    <row r="14" spans="1:12" ht="12.75" customHeight="1">
      <c r="A14" s="44" t="s">
        <v>46</v>
      </c>
      <c r="B14" s="880">
        <f>+B15+B19+B24+B32+B33+B34+B40+B49</f>
        <v>30594500</v>
      </c>
      <c r="C14" s="880"/>
      <c r="D14" s="880">
        <f>+D15+D19+D24+D32+D33+D34+D40+D49</f>
        <v>30594500</v>
      </c>
      <c r="E14" s="880"/>
      <c r="F14" s="880">
        <f>+F15+F19+F24+F32+F33+F34+F40+F49</f>
        <v>4742415.91</v>
      </c>
      <c r="G14" s="880"/>
      <c r="H14" s="45">
        <f t="shared" si="0"/>
        <v>0.15500877314550002</v>
      </c>
      <c r="I14" s="880">
        <f>+I15+I19+I24+I32+I33+I34+I40+I49</f>
        <v>11922801.56</v>
      </c>
      <c r="J14" s="880"/>
      <c r="K14" s="45">
        <f t="shared" si="1"/>
        <v>0.3897040827599732</v>
      </c>
      <c r="L14" s="46">
        <f t="shared" si="2"/>
        <v>18671698.439999998</v>
      </c>
    </row>
    <row r="15" spans="1:12" ht="12.75" customHeight="1">
      <c r="A15" s="47" t="s">
        <v>47</v>
      </c>
      <c r="B15" s="881">
        <f>SUM(B16:C18)</f>
        <v>173300</v>
      </c>
      <c r="C15" s="881"/>
      <c r="D15" s="881">
        <f>SUM(D16:E18)</f>
        <v>173300</v>
      </c>
      <c r="E15" s="881"/>
      <c r="F15" s="881">
        <f>SUM(F16:G18)</f>
        <v>107151.09</v>
      </c>
      <c r="G15" s="881"/>
      <c r="H15" s="48">
        <f t="shared" si="0"/>
        <v>0.618298268897865</v>
      </c>
      <c r="I15" s="881">
        <f>SUM(I16:J18)</f>
        <v>279973.14</v>
      </c>
      <c r="J15" s="881"/>
      <c r="K15" s="48">
        <f t="shared" si="1"/>
        <v>1.6155403346797461</v>
      </c>
      <c r="L15" s="49">
        <f t="shared" si="2"/>
        <v>-106673.14000000001</v>
      </c>
    </row>
    <row r="16" spans="1:12" ht="12.75" customHeight="1">
      <c r="A16" s="50" t="s">
        <v>48</v>
      </c>
      <c r="B16" s="882">
        <v>164500</v>
      </c>
      <c r="C16" s="882"/>
      <c r="D16" s="882">
        <v>164500</v>
      </c>
      <c r="E16" s="882"/>
      <c r="F16" s="882">
        <v>37034.07</v>
      </c>
      <c r="G16" s="882"/>
      <c r="H16" s="51">
        <f t="shared" si="0"/>
        <v>0.2251311246200608</v>
      </c>
      <c r="I16" s="882">
        <v>207346.03</v>
      </c>
      <c r="J16" s="882"/>
      <c r="K16" s="51">
        <f t="shared" si="1"/>
        <v>1.260462188449848</v>
      </c>
      <c r="L16" s="52">
        <f t="shared" si="2"/>
        <v>-42846.03</v>
      </c>
    </row>
    <row r="17" spans="1:12" ht="12.75" customHeight="1">
      <c r="A17" s="50" t="s">
        <v>49</v>
      </c>
      <c r="B17" s="882">
        <v>7800</v>
      </c>
      <c r="C17" s="882"/>
      <c r="D17" s="882">
        <v>7800</v>
      </c>
      <c r="E17" s="882"/>
      <c r="F17" s="882">
        <v>70117.02</v>
      </c>
      <c r="G17" s="882"/>
      <c r="H17" s="51">
        <f t="shared" si="0"/>
        <v>8.989361538461539</v>
      </c>
      <c r="I17" s="882">
        <v>72627.11</v>
      </c>
      <c r="J17" s="882"/>
      <c r="K17" s="51">
        <f t="shared" si="1"/>
        <v>9.311167948717948</v>
      </c>
      <c r="L17" s="52">
        <f t="shared" si="2"/>
        <v>-64827.11</v>
      </c>
    </row>
    <row r="18" spans="1:12" ht="12.75" customHeight="1">
      <c r="A18" s="50" t="s">
        <v>50</v>
      </c>
      <c r="B18" s="882">
        <v>1000</v>
      </c>
      <c r="C18" s="882"/>
      <c r="D18" s="882">
        <v>1000</v>
      </c>
      <c r="E18" s="882"/>
      <c r="F18" s="882"/>
      <c r="G18" s="882"/>
      <c r="H18" s="51">
        <f t="shared" si="0"/>
        <v>0</v>
      </c>
      <c r="I18" s="882"/>
      <c r="J18" s="882"/>
      <c r="K18" s="51">
        <f t="shared" si="1"/>
        <v>0</v>
      </c>
      <c r="L18" s="52">
        <f t="shared" si="2"/>
        <v>1000</v>
      </c>
    </row>
    <row r="19" spans="1:12" ht="12.75" customHeight="1">
      <c r="A19" s="53" t="s">
        <v>51</v>
      </c>
      <c r="B19" s="881">
        <f>SUM(B20:C23)</f>
        <v>50000</v>
      </c>
      <c r="C19" s="881"/>
      <c r="D19" s="881">
        <f>SUM(D20:E23)</f>
        <v>50000</v>
      </c>
      <c r="E19" s="881"/>
      <c r="F19" s="881">
        <f>SUM(F20:G23)</f>
        <v>0</v>
      </c>
      <c r="G19" s="881"/>
      <c r="H19" s="48">
        <f t="shared" si="0"/>
        <v>0</v>
      </c>
      <c r="I19" s="881">
        <f>SUM(I20:J23)</f>
        <v>134.76</v>
      </c>
      <c r="J19" s="881"/>
      <c r="K19" s="48">
        <f t="shared" si="1"/>
        <v>0.0026952</v>
      </c>
      <c r="L19" s="49">
        <f t="shared" si="2"/>
        <v>49865.24</v>
      </c>
    </row>
    <row r="20" spans="1:12" ht="12.75" customHeight="1">
      <c r="A20" s="50" t="s">
        <v>52</v>
      </c>
      <c r="B20" s="882"/>
      <c r="C20" s="882"/>
      <c r="D20" s="882"/>
      <c r="E20" s="882"/>
      <c r="F20" s="882"/>
      <c r="G20" s="882"/>
      <c r="H20" s="51">
        <f t="shared" si="0"/>
        <v>0</v>
      </c>
      <c r="I20" s="882"/>
      <c r="J20" s="882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82"/>
      <c r="C21" s="882"/>
      <c r="D21" s="882"/>
      <c r="E21" s="882"/>
      <c r="F21" s="882"/>
      <c r="G21" s="882"/>
      <c r="H21" s="51">
        <f t="shared" si="0"/>
        <v>0</v>
      </c>
      <c r="I21" s="882"/>
      <c r="J21" s="882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82"/>
      <c r="E22" s="882"/>
      <c r="F22" s="882"/>
      <c r="G22" s="882"/>
      <c r="H22" s="51"/>
      <c r="I22" s="882"/>
      <c r="J22" s="882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82">
        <v>50000</v>
      </c>
      <c r="C23" s="882"/>
      <c r="D23" s="882">
        <v>50000</v>
      </c>
      <c r="E23" s="882"/>
      <c r="F23" s="882"/>
      <c r="G23" s="882"/>
      <c r="H23" s="51">
        <f aca="true" t="shared" si="3" ref="H23:H31">IF(D23="",0,IF(D23=0,0,+F23/D23))</f>
        <v>0</v>
      </c>
      <c r="I23" s="882">
        <v>134.76</v>
      </c>
      <c r="J23" s="882"/>
      <c r="K23" s="51">
        <f t="shared" si="1"/>
        <v>0.0026952</v>
      </c>
      <c r="L23" s="52">
        <f t="shared" si="2"/>
        <v>49865.24</v>
      </c>
    </row>
    <row r="24" spans="1:12" ht="12.75" customHeight="1">
      <c r="A24" s="53" t="s">
        <v>56</v>
      </c>
      <c r="B24" s="881">
        <f>SUM(B25:C31)</f>
        <v>37100</v>
      </c>
      <c r="C24" s="881"/>
      <c r="D24" s="881">
        <f>SUM(D25:E31)</f>
        <v>37100</v>
      </c>
      <c r="E24" s="881"/>
      <c r="F24" s="881">
        <f>SUM(F25:G31)</f>
        <v>3587.74</v>
      </c>
      <c r="G24" s="881"/>
      <c r="H24" s="48">
        <f t="shared" si="3"/>
        <v>0.09670458221024258</v>
      </c>
      <c r="I24" s="881">
        <f>SUM(I25:J31)</f>
        <v>11633.56</v>
      </c>
      <c r="J24" s="881"/>
      <c r="K24" s="48">
        <f t="shared" si="1"/>
        <v>0.31357304582210244</v>
      </c>
      <c r="L24" s="49">
        <f t="shared" si="2"/>
        <v>25466.440000000002</v>
      </c>
    </row>
    <row r="25" spans="1:12" ht="12.75" customHeight="1">
      <c r="A25" s="50" t="s">
        <v>57</v>
      </c>
      <c r="B25" s="882">
        <v>600</v>
      </c>
      <c r="C25" s="882"/>
      <c r="D25" s="882">
        <v>600</v>
      </c>
      <c r="E25" s="882"/>
      <c r="F25" s="882"/>
      <c r="G25" s="882"/>
      <c r="H25" s="51">
        <f t="shared" si="3"/>
        <v>0</v>
      </c>
      <c r="I25" s="882"/>
      <c r="J25" s="882"/>
      <c r="K25" s="51">
        <f t="shared" si="1"/>
        <v>0</v>
      </c>
      <c r="L25" s="52">
        <f t="shared" si="2"/>
        <v>600</v>
      </c>
    </row>
    <row r="26" spans="1:12" ht="12.75" customHeight="1">
      <c r="A26" s="50" t="s">
        <v>58</v>
      </c>
      <c r="B26" s="882">
        <v>34000</v>
      </c>
      <c r="C26" s="882"/>
      <c r="D26" s="882">
        <v>34000</v>
      </c>
      <c r="E26" s="882"/>
      <c r="F26" s="882">
        <v>3587.74</v>
      </c>
      <c r="G26" s="882"/>
      <c r="H26" s="51">
        <f t="shared" si="3"/>
        <v>0.10552176470588234</v>
      </c>
      <c r="I26" s="882">
        <v>11633.56</v>
      </c>
      <c r="J26" s="882"/>
      <c r="K26" s="51">
        <f t="shared" si="1"/>
        <v>0.3421635294117647</v>
      </c>
      <c r="L26" s="52">
        <f t="shared" si="2"/>
        <v>22366.440000000002</v>
      </c>
    </row>
    <row r="27" spans="1:12" ht="25.5" customHeight="1">
      <c r="A27" s="56" t="s">
        <v>59</v>
      </c>
      <c r="B27" s="882">
        <v>500</v>
      </c>
      <c r="C27" s="882"/>
      <c r="D27" s="882">
        <v>500</v>
      </c>
      <c r="E27" s="882"/>
      <c r="F27" s="882"/>
      <c r="G27" s="882"/>
      <c r="H27" s="51">
        <f t="shared" si="3"/>
        <v>0</v>
      </c>
      <c r="I27" s="882"/>
      <c r="J27" s="882"/>
      <c r="K27" s="51">
        <f t="shared" si="1"/>
        <v>0</v>
      </c>
      <c r="L27" s="52">
        <f t="shared" si="2"/>
        <v>500</v>
      </c>
    </row>
    <row r="28" spans="1:12" ht="12.75" customHeight="1">
      <c r="A28" s="50" t="s">
        <v>60</v>
      </c>
      <c r="B28" s="882"/>
      <c r="C28" s="882"/>
      <c r="D28" s="882"/>
      <c r="E28" s="882"/>
      <c r="F28" s="882"/>
      <c r="G28" s="882"/>
      <c r="H28" s="51">
        <f t="shared" si="3"/>
        <v>0</v>
      </c>
      <c r="I28" s="882"/>
      <c r="J28" s="882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83"/>
      <c r="C29" s="883"/>
      <c r="D29" s="883"/>
      <c r="E29" s="883"/>
      <c r="F29" s="883"/>
      <c r="G29" s="883"/>
      <c r="H29" s="59">
        <f t="shared" si="3"/>
        <v>0</v>
      </c>
      <c r="I29" s="883"/>
      <c r="J29" s="883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82"/>
      <c r="C30" s="882"/>
      <c r="D30" s="882"/>
      <c r="E30" s="882"/>
      <c r="F30" s="882"/>
      <c r="G30" s="882"/>
      <c r="H30" s="51">
        <f t="shared" si="3"/>
        <v>0</v>
      </c>
      <c r="I30" s="882"/>
      <c r="J30" s="882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82">
        <v>2000</v>
      </c>
      <c r="C31" s="882"/>
      <c r="D31" s="882">
        <v>2000</v>
      </c>
      <c r="E31" s="882"/>
      <c r="F31" s="882"/>
      <c r="G31" s="882"/>
      <c r="H31" s="51">
        <f t="shared" si="3"/>
        <v>0</v>
      </c>
      <c r="I31" s="882"/>
      <c r="J31" s="882"/>
      <c r="K31" s="51">
        <f t="shared" si="1"/>
        <v>0</v>
      </c>
      <c r="L31" s="52">
        <f t="shared" si="2"/>
        <v>2000</v>
      </c>
    </row>
    <row r="32" spans="1:12" ht="12.75" customHeight="1">
      <c r="A32" s="53" t="s">
        <v>64</v>
      </c>
      <c r="B32" s="881">
        <v>0</v>
      </c>
      <c r="C32" s="881"/>
      <c r="D32" s="881">
        <v>0</v>
      </c>
      <c r="E32" s="881"/>
      <c r="F32" s="881">
        <v>0</v>
      </c>
      <c r="G32" s="881"/>
      <c r="H32" s="48">
        <v>0</v>
      </c>
      <c r="I32" s="881">
        <v>0</v>
      </c>
      <c r="J32" s="881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81">
        <v>0</v>
      </c>
      <c r="C33" s="881"/>
      <c r="D33" s="881">
        <v>0</v>
      </c>
      <c r="E33" s="881"/>
      <c r="F33" s="881">
        <v>0</v>
      </c>
      <c r="G33" s="881"/>
      <c r="H33" s="48">
        <v>0</v>
      </c>
      <c r="I33" s="881">
        <v>0</v>
      </c>
      <c r="J33" s="881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884">
        <f>SUM(B35:B39)</f>
        <v>22000</v>
      </c>
      <c r="C34" s="884"/>
      <c r="D34" s="884">
        <f>SUM(D35:D39)</f>
        <v>22000</v>
      </c>
      <c r="E34" s="884"/>
      <c r="F34" s="884">
        <f>SUM(F35:F39)</f>
        <v>0</v>
      </c>
      <c r="G34" s="884"/>
      <c r="H34" s="48">
        <f>IF(D34="",0,IF(D34=0,0,+F34/D34))</f>
        <v>0</v>
      </c>
      <c r="I34" s="884">
        <v>0</v>
      </c>
      <c r="J34" s="884"/>
      <c r="K34" s="48">
        <f t="shared" si="1"/>
        <v>0</v>
      </c>
      <c r="L34" s="62">
        <f t="shared" si="2"/>
        <v>22000</v>
      </c>
    </row>
    <row r="35" spans="1:12" ht="12.75" customHeight="1">
      <c r="A35" s="50" t="s">
        <v>67</v>
      </c>
      <c r="B35" s="882">
        <v>22000</v>
      </c>
      <c r="C35" s="882"/>
      <c r="D35" s="882">
        <v>22000</v>
      </c>
      <c r="E35" s="882"/>
      <c r="F35" s="882"/>
      <c r="G35" s="882"/>
      <c r="H35" s="63"/>
      <c r="I35" s="882"/>
      <c r="J35" s="882"/>
      <c r="K35" s="63">
        <f t="shared" si="1"/>
        <v>0</v>
      </c>
      <c r="L35" s="64">
        <f t="shared" si="2"/>
        <v>22000</v>
      </c>
    </row>
    <row r="36" spans="1:12" ht="12.75" customHeight="1">
      <c r="A36" s="50" t="s">
        <v>68</v>
      </c>
      <c r="B36" s="882">
        <v>0</v>
      </c>
      <c r="C36" s="882"/>
      <c r="D36" s="882"/>
      <c r="E36" s="882"/>
      <c r="F36" s="882"/>
      <c r="G36" s="882"/>
      <c r="H36" s="63"/>
      <c r="I36" s="882"/>
      <c r="J36" s="882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82"/>
      <c r="C37" s="882"/>
      <c r="D37" s="882"/>
      <c r="E37" s="882"/>
      <c r="F37" s="882"/>
      <c r="G37" s="882"/>
      <c r="H37" s="63"/>
      <c r="I37" s="882"/>
      <c r="J37" s="882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70</v>
      </c>
      <c r="B38" s="882"/>
      <c r="C38" s="882"/>
      <c r="D38" s="882"/>
      <c r="E38" s="882"/>
      <c r="F38" s="882"/>
      <c r="G38" s="882"/>
      <c r="H38" s="63"/>
      <c r="I38" s="882"/>
      <c r="J38" s="882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82"/>
      <c r="C39" s="882"/>
      <c r="D39" s="882"/>
      <c r="E39" s="882"/>
      <c r="F39" s="882"/>
      <c r="G39" s="882"/>
      <c r="H39" s="63"/>
      <c r="I39" s="882"/>
      <c r="J39" s="882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81">
        <f>SUM(B41:C48)</f>
        <v>30309400</v>
      </c>
      <c r="C40" s="881"/>
      <c r="D40" s="881">
        <f>SUM(D41:E48)</f>
        <v>30309400</v>
      </c>
      <c r="E40" s="881"/>
      <c r="F40" s="881">
        <f>SUM(F41:G48)</f>
        <v>4631677.08</v>
      </c>
      <c r="G40" s="881"/>
      <c r="H40" s="48">
        <f aca="true" t="shared" si="4" ref="H40:H45">IF(D40="",0,IF(D40=0,0,+F40/D40))</f>
        <v>0.1528132223006724</v>
      </c>
      <c r="I40" s="881">
        <f>SUM(I41:J48)</f>
        <v>11590756.23</v>
      </c>
      <c r="J40" s="881"/>
      <c r="K40" s="48">
        <f t="shared" si="1"/>
        <v>0.3824145720469557</v>
      </c>
      <c r="L40" s="49">
        <f t="shared" si="2"/>
        <v>18718643.77</v>
      </c>
    </row>
    <row r="41" spans="1:12" ht="12.75" customHeight="1">
      <c r="A41" s="50" t="s">
        <v>73</v>
      </c>
      <c r="B41" s="882">
        <v>19196400</v>
      </c>
      <c r="C41" s="882"/>
      <c r="D41" s="882">
        <v>19196400</v>
      </c>
      <c r="E41" s="882"/>
      <c r="F41" s="882">
        <v>2801035.23</v>
      </c>
      <c r="G41" s="882"/>
      <c r="H41" s="51">
        <f t="shared" si="4"/>
        <v>0.1459146105519785</v>
      </c>
      <c r="I41" s="882">
        <v>6336315.17</v>
      </c>
      <c r="J41" s="882"/>
      <c r="K41" s="51">
        <f t="shared" si="1"/>
        <v>0.3300783047863141</v>
      </c>
      <c r="L41" s="52">
        <f t="shared" si="2"/>
        <v>12860084.83</v>
      </c>
    </row>
    <row r="42" spans="1:12" ht="24" customHeight="1">
      <c r="A42" s="56" t="s">
        <v>74</v>
      </c>
      <c r="B42" s="882">
        <v>2983000</v>
      </c>
      <c r="C42" s="882"/>
      <c r="D42" s="882">
        <v>2983000</v>
      </c>
      <c r="E42" s="882"/>
      <c r="F42" s="882">
        <v>370342.86</v>
      </c>
      <c r="G42" s="882"/>
      <c r="H42" s="51">
        <f t="shared" si="4"/>
        <v>0.12415114314448542</v>
      </c>
      <c r="I42" s="882">
        <v>1033175.81</v>
      </c>
      <c r="J42" s="882"/>
      <c r="K42" s="51">
        <f t="shared" si="1"/>
        <v>0.34635461280590013</v>
      </c>
      <c r="L42" s="52">
        <f t="shared" si="2"/>
        <v>1949824.19</v>
      </c>
    </row>
    <row r="43" spans="1:12" ht="12.75" customHeight="1">
      <c r="A43" s="50" t="s">
        <v>75</v>
      </c>
      <c r="B43" s="882">
        <v>50000</v>
      </c>
      <c r="C43" s="882"/>
      <c r="D43" s="882">
        <v>50000</v>
      </c>
      <c r="E43" s="882"/>
      <c r="F43" s="882"/>
      <c r="G43" s="882"/>
      <c r="H43" s="51">
        <f t="shared" si="4"/>
        <v>0</v>
      </c>
      <c r="I43" s="882"/>
      <c r="J43" s="882"/>
      <c r="K43" s="51">
        <f t="shared" si="1"/>
        <v>0</v>
      </c>
      <c r="L43" s="52">
        <f t="shared" si="2"/>
        <v>50000</v>
      </c>
    </row>
    <row r="44" spans="1:12" ht="12.75" customHeight="1">
      <c r="A44" s="50" t="s">
        <v>76</v>
      </c>
      <c r="B44" s="882"/>
      <c r="C44" s="882"/>
      <c r="D44" s="882"/>
      <c r="E44" s="882"/>
      <c r="F44" s="882"/>
      <c r="G44" s="882"/>
      <c r="H44" s="51">
        <f t="shared" si="4"/>
        <v>0</v>
      </c>
      <c r="I44" s="882"/>
      <c r="J44" s="882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82">
        <v>8080000</v>
      </c>
      <c r="C45" s="882"/>
      <c r="D45" s="882">
        <v>8080000</v>
      </c>
      <c r="E45" s="882"/>
      <c r="F45" s="882">
        <v>1460298.99</v>
      </c>
      <c r="G45" s="882"/>
      <c r="H45" s="51">
        <f t="shared" si="4"/>
        <v>0.18073007301980198</v>
      </c>
      <c r="I45" s="882">
        <v>4221265.25</v>
      </c>
      <c r="J45" s="882"/>
      <c r="K45" s="51">
        <f t="shared" si="1"/>
        <v>0.5224338180693069</v>
      </c>
      <c r="L45" s="52">
        <f t="shared" si="2"/>
        <v>3858734.75</v>
      </c>
    </row>
    <row r="46" spans="1:12" ht="12.75" customHeight="1">
      <c r="A46" s="50" t="s">
        <v>78</v>
      </c>
      <c r="B46" s="882"/>
      <c r="C46" s="882"/>
      <c r="D46" s="882"/>
      <c r="E46" s="882"/>
      <c r="F46" s="882"/>
      <c r="G46" s="882"/>
      <c r="H46" s="51">
        <v>0</v>
      </c>
      <c r="I46" s="882"/>
      <c r="J46" s="882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82"/>
      <c r="C47" s="882"/>
      <c r="D47" s="882"/>
      <c r="E47" s="882"/>
      <c r="F47" s="882"/>
      <c r="G47" s="882"/>
      <c r="H47" s="51">
        <v>0</v>
      </c>
      <c r="I47" s="882"/>
      <c r="J47" s="882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82"/>
      <c r="C48" s="882"/>
      <c r="D48" s="882"/>
      <c r="E48" s="882"/>
      <c r="F48" s="882"/>
      <c r="G48" s="882"/>
      <c r="H48" s="51">
        <f aca="true" t="shared" si="5" ref="H48:H59">IF(D48="",0,IF(D48=0,0,+F48/D48))</f>
        <v>0</v>
      </c>
      <c r="I48" s="882"/>
      <c r="J48" s="882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81">
        <f>SUM(B50:C53)</f>
        <v>2700</v>
      </c>
      <c r="C49" s="881"/>
      <c r="D49" s="881">
        <f>SUM(D50:E53)</f>
        <v>2700</v>
      </c>
      <c r="E49" s="881"/>
      <c r="F49" s="881">
        <f>SUM(F50:G53)</f>
        <v>0</v>
      </c>
      <c r="G49" s="881"/>
      <c r="H49" s="48">
        <f t="shared" si="5"/>
        <v>0</v>
      </c>
      <c r="I49" s="881">
        <f>SUM(I50:J53)</f>
        <v>40303.87</v>
      </c>
      <c r="J49" s="881"/>
      <c r="K49" s="48">
        <f t="shared" si="1"/>
        <v>14.92735925925926</v>
      </c>
      <c r="L49" s="49">
        <f t="shared" si="2"/>
        <v>-37603.87</v>
      </c>
    </row>
    <row r="50" spans="1:12" ht="12.75" customHeight="1">
      <c r="A50" s="50" t="s">
        <v>82</v>
      </c>
      <c r="B50" s="882"/>
      <c r="C50" s="882"/>
      <c r="D50" s="882"/>
      <c r="E50" s="882"/>
      <c r="F50" s="882"/>
      <c r="G50" s="882"/>
      <c r="H50" s="51">
        <f t="shared" si="5"/>
        <v>0</v>
      </c>
      <c r="I50" s="882"/>
      <c r="J50" s="882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82">
        <v>1200</v>
      </c>
      <c r="C51" s="882"/>
      <c r="D51" s="882">
        <v>1200</v>
      </c>
      <c r="E51" s="882"/>
      <c r="F51" s="882"/>
      <c r="G51" s="882"/>
      <c r="H51" s="51">
        <f t="shared" si="5"/>
        <v>0</v>
      </c>
      <c r="I51" s="882">
        <v>40303.87</v>
      </c>
      <c r="J51" s="882"/>
      <c r="K51" s="51">
        <f t="shared" si="1"/>
        <v>33.586558333333336</v>
      </c>
      <c r="L51" s="52">
        <f t="shared" si="2"/>
        <v>-39103.87</v>
      </c>
    </row>
    <row r="52" spans="1:12" ht="14.25" customHeight="1">
      <c r="A52" s="50" t="s">
        <v>84</v>
      </c>
      <c r="B52" s="882"/>
      <c r="C52" s="882"/>
      <c r="D52" s="882"/>
      <c r="E52" s="882"/>
      <c r="F52" s="882"/>
      <c r="G52" s="882"/>
      <c r="H52" s="51">
        <f t="shared" si="5"/>
        <v>0</v>
      </c>
      <c r="I52" s="882"/>
      <c r="J52" s="882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83">
        <v>1500</v>
      </c>
      <c r="C53" s="883"/>
      <c r="D53" s="883">
        <v>1500</v>
      </c>
      <c r="E53" s="883"/>
      <c r="F53" s="883"/>
      <c r="G53" s="883"/>
      <c r="H53" s="59">
        <f t="shared" si="5"/>
        <v>0</v>
      </c>
      <c r="I53" s="883"/>
      <c r="J53" s="883"/>
      <c r="K53" s="59">
        <f t="shared" si="1"/>
        <v>0</v>
      </c>
      <c r="L53" s="60">
        <f t="shared" si="2"/>
        <v>1500</v>
      </c>
    </row>
    <row r="54" spans="1:12" ht="12.75" customHeight="1">
      <c r="A54" s="44" t="s">
        <v>86</v>
      </c>
      <c r="B54" s="880">
        <f>+B55+B58+B62+B63+B72</f>
        <v>4491500</v>
      </c>
      <c r="C54" s="880"/>
      <c r="D54" s="880">
        <f>+D55+D58+D62+D63+D72</f>
        <v>4491500</v>
      </c>
      <c r="E54" s="880"/>
      <c r="F54" s="880">
        <f>+F55+F58+F62+F63+F72</f>
        <v>0</v>
      </c>
      <c r="G54" s="880"/>
      <c r="H54" s="45">
        <f t="shared" si="5"/>
        <v>0</v>
      </c>
      <c r="I54" s="880">
        <f>+I55+I58+I62+I63+I72</f>
        <v>0</v>
      </c>
      <c r="J54" s="880"/>
      <c r="K54" s="45">
        <f t="shared" si="1"/>
        <v>0</v>
      </c>
      <c r="L54" s="46">
        <f t="shared" si="2"/>
        <v>4491500</v>
      </c>
    </row>
    <row r="55" spans="1:12" ht="12.75" customHeight="1">
      <c r="A55" s="53" t="s">
        <v>87</v>
      </c>
      <c r="B55" s="881">
        <f>SUM(B56:C57)</f>
        <v>4000</v>
      </c>
      <c r="C55" s="881"/>
      <c r="D55" s="881">
        <f>SUM(D56:E57)</f>
        <v>4000</v>
      </c>
      <c r="E55" s="881"/>
      <c r="F55" s="881">
        <f>SUM(F56:G57)</f>
        <v>0</v>
      </c>
      <c r="G55" s="881"/>
      <c r="H55" s="48">
        <f t="shared" si="5"/>
        <v>0</v>
      </c>
      <c r="I55" s="881">
        <f>SUM(I56:J57)</f>
        <v>0</v>
      </c>
      <c r="J55" s="881"/>
      <c r="K55" s="48">
        <f t="shared" si="1"/>
        <v>0</v>
      </c>
      <c r="L55" s="49">
        <f t="shared" si="2"/>
        <v>4000</v>
      </c>
    </row>
    <row r="56" spans="1:12" ht="12.75" customHeight="1">
      <c r="A56" s="50" t="s">
        <v>88</v>
      </c>
      <c r="B56" s="882">
        <v>4000</v>
      </c>
      <c r="C56" s="882"/>
      <c r="D56" s="882">
        <v>4000</v>
      </c>
      <c r="E56" s="882"/>
      <c r="F56" s="882"/>
      <c r="G56" s="882"/>
      <c r="H56" s="51">
        <f t="shared" si="5"/>
        <v>0</v>
      </c>
      <c r="I56" s="882"/>
      <c r="J56" s="882"/>
      <c r="K56" s="51">
        <f t="shared" si="1"/>
        <v>0</v>
      </c>
      <c r="L56" s="52">
        <f t="shared" si="2"/>
        <v>4000</v>
      </c>
    </row>
    <row r="57" spans="1:12" ht="12.75" customHeight="1">
      <c r="A57" s="50" t="s">
        <v>89</v>
      </c>
      <c r="B57" s="882"/>
      <c r="C57" s="882"/>
      <c r="D57" s="882"/>
      <c r="E57" s="882"/>
      <c r="F57" s="882"/>
      <c r="G57" s="882"/>
      <c r="H57" s="51">
        <f t="shared" si="5"/>
        <v>0</v>
      </c>
      <c r="I57" s="882"/>
      <c r="J57" s="882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81">
        <f>SUM(B59:C61)</f>
        <v>3000</v>
      </c>
      <c r="C58" s="881"/>
      <c r="D58" s="881">
        <f>SUM(D59:E61)</f>
        <v>3000</v>
      </c>
      <c r="E58" s="881"/>
      <c r="F58" s="881">
        <f>SUM(F59:G61)</f>
        <v>0</v>
      </c>
      <c r="G58" s="881"/>
      <c r="H58" s="48">
        <f t="shared" si="5"/>
        <v>0</v>
      </c>
      <c r="I58" s="881">
        <f>SUM(I59:J61)</f>
        <v>0</v>
      </c>
      <c r="J58" s="881"/>
      <c r="K58" s="48">
        <f t="shared" si="1"/>
        <v>0</v>
      </c>
      <c r="L58" s="49">
        <f t="shared" si="2"/>
        <v>3000</v>
      </c>
    </row>
    <row r="59" spans="1:12" ht="12.75" customHeight="1">
      <c r="A59" s="50" t="s">
        <v>91</v>
      </c>
      <c r="B59" s="882"/>
      <c r="C59" s="882"/>
      <c r="D59" s="882"/>
      <c r="E59" s="882"/>
      <c r="F59" s="882"/>
      <c r="G59" s="882"/>
      <c r="H59" s="51">
        <f t="shared" si="5"/>
        <v>0</v>
      </c>
      <c r="I59" s="882"/>
      <c r="J59" s="882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92</v>
      </c>
      <c r="B60" s="882">
        <v>3000</v>
      </c>
      <c r="C60" s="882"/>
      <c r="D60" s="882">
        <v>3000</v>
      </c>
      <c r="E60" s="882"/>
      <c r="F60" s="882"/>
      <c r="G60" s="882"/>
      <c r="H60" s="51">
        <v>0</v>
      </c>
      <c r="I60" s="882"/>
      <c r="J60" s="882"/>
      <c r="K60" s="51">
        <v>0</v>
      </c>
      <c r="L60" s="52">
        <f t="shared" si="2"/>
        <v>3000</v>
      </c>
    </row>
    <row r="61" spans="1:12" ht="12.75" customHeight="1">
      <c r="A61" s="50" t="s">
        <v>93</v>
      </c>
      <c r="B61" s="882"/>
      <c r="C61" s="882"/>
      <c r="D61" s="882"/>
      <c r="E61" s="882"/>
      <c r="F61" s="882"/>
      <c r="G61" s="882"/>
      <c r="H61" s="51">
        <f>IF(D61="",0,IF(D61=0,0,+F61/D61))</f>
        <v>0</v>
      </c>
      <c r="I61" s="882"/>
      <c r="J61" s="882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82"/>
      <c r="C62" s="882"/>
      <c r="D62" s="882"/>
      <c r="E62" s="882"/>
      <c r="F62" s="882"/>
      <c r="G62" s="882"/>
      <c r="H62" s="48">
        <f>IF(D62="",0,IF(D62=0,0,+F62/D62))</f>
        <v>0</v>
      </c>
      <c r="I62" s="882"/>
      <c r="J62" s="882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81">
        <f>SUM(B64:C71)</f>
        <v>4484500</v>
      </c>
      <c r="C63" s="881"/>
      <c r="D63" s="881">
        <f>SUM(D64:E71)</f>
        <v>4484500</v>
      </c>
      <c r="E63" s="881"/>
      <c r="F63" s="881">
        <f>SUM(F64:G71)</f>
        <v>0</v>
      </c>
      <c r="G63" s="881"/>
      <c r="H63" s="48">
        <f>IF(D63="",0,IF(D63=0,0,+F63/D63))</f>
        <v>0</v>
      </c>
      <c r="I63" s="881">
        <f>SUM(I64:J71)</f>
        <v>0</v>
      </c>
      <c r="J63" s="881"/>
      <c r="K63" s="48">
        <f t="shared" si="6"/>
        <v>0</v>
      </c>
      <c r="L63" s="49">
        <f t="shared" si="2"/>
        <v>4484500</v>
      </c>
    </row>
    <row r="64" spans="1:12" ht="12.75" customHeight="1">
      <c r="A64" s="50" t="s">
        <v>96</v>
      </c>
      <c r="B64" s="882">
        <v>1900000</v>
      </c>
      <c r="C64" s="882"/>
      <c r="D64" s="882">
        <v>1900000</v>
      </c>
      <c r="E64" s="882"/>
      <c r="F64" s="882"/>
      <c r="G64" s="882"/>
      <c r="H64" s="51">
        <f>IF(D64="",0,IF(D64=0,0,+F64/D64))</f>
        <v>0</v>
      </c>
      <c r="I64" s="882"/>
      <c r="J64" s="882"/>
      <c r="K64" s="51">
        <f t="shared" si="6"/>
        <v>0</v>
      </c>
      <c r="L64" s="52">
        <f t="shared" si="2"/>
        <v>1900000</v>
      </c>
    </row>
    <row r="65" spans="1:12" ht="12.75" customHeight="1">
      <c r="A65" s="50" t="s">
        <v>97</v>
      </c>
      <c r="B65" s="882">
        <v>2582500</v>
      </c>
      <c r="C65" s="882"/>
      <c r="D65" s="882">
        <v>2582500</v>
      </c>
      <c r="E65" s="882"/>
      <c r="F65" s="882"/>
      <c r="G65" s="882"/>
      <c r="H65" s="51">
        <v>0</v>
      </c>
      <c r="I65" s="882"/>
      <c r="J65" s="882"/>
      <c r="K65" s="51">
        <f t="shared" si="6"/>
        <v>0</v>
      </c>
      <c r="L65" s="52">
        <f t="shared" si="2"/>
        <v>2582500</v>
      </c>
    </row>
    <row r="66" spans="1:12" ht="12.75" customHeight="1">
      <c r="A66" s="50" t="s">
        <v>98</v>
      </c>
      <c r="B66" s="882">
        <v>2000</v>
      </c>
      <c r="C66" s="882"/>
      <c r="D66" s="882">
        <v>2000</v>
      </c>
      <c r="E66" s="882"/>
      <c r="F66" s="882"/>
      <c r="G66" s="882"/>
      <c r="H66" s="51">
        <v>0</v>
      </c>
      <c r="I66" s="882"/>
      <c r="J66" s="882"/>
      <c r="K66" s="51">
        <f t="shared" si="6"/>
        <v>0</v>
      </c>
      <c r="L66" s="52">
        <f t="shared" si="2"/>
        <v>2000</v>
      </c>
    </row>
    <row r="67" spans="1:12" ht="12.75" customHeight="1">
      <c r="A67" s="50" t="s">
        <v>99</v>
      </c>
      <c r="B67" s="882"/>
      <c r="C67" s="882"/>
      <c r="D67" s="882"/>
      <c r="E67" s="882"/>
      <c r="F67" s="882"/>
      <c r="G67" s="882"/>
      <c r="H67" s="51">
        <f aca="true" t="shared" si="7" ref="H67:H77">IF(D67="",0,IF(D67=0,0,+F67/D67))</f>
        <v>0</v>
      </c>
      <c r="I67" s="882"/>
      <c r="J67" s="882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82"/>
      <c r="C68" s="882"/>
      <c r="D68" s="882"/>
      <c r="E68" s="882"/>
      <c r="F68" s="882"/>
      <c r="G68" s="882"/>
      <c r="H68" s="51">
        <f t="shared" si="7"/>
        <v>0</v>
      </c>
      <c r="I68" s="882"/>
      <c r="J68" s="882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82"/>
      <c r="C69" s="882"/>
      <c r="D69" s="882"/>
      <c r="E69" s="882"/>
      <c r="F69" s="882"/>
      <c r="G69" s="882"/>
      <c r="H69" s="51">
        <f t="shared" si="7"/>
        <v>0</v>
      </c>
      <c r="I69" s="882"/>
      <c r="J69" s="882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82"/>
      <c r="C70" s="882"/>
      <c r="D70" s="882"/>
      <c r="E70" s="882"/>
      <c r="F70" s="882"/>
      <c r="G70" s="882"/>
      <c r="H70" s="51">
        <f t="shared" si="7"/>
        <v>0</v>
      </c>
      <c r="I70" s="882"/>
      <c r="J70" s="882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82"/>
      <c r="C71" s="882"/>
      <c r="D71" s="882"/>
      <c r="E71" s="882"/>
      <c r="F71" s="882"/>
      <c r="G71" s="882"/>
      <c r="H71" s="51">
        <f t="shared" si="7"/>
        <v>0</v>
      </c>
      <c r="I71" s="882"/>
      <c r="J71" s="882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81">
        <f>SUM(B73:C76)</f>
        <v>0</v>
      </c>
      <c r="C72" s="881"/>
      <c r="D72" s="881">
        <f>SUM(D73:E76)</f>
        <v>0</v>
      </c>
      <c r="E72" s="881"/>
      <c r="F72" s="881">
        <f>SUM(F73:G76)</f>
        <v>0</v>
      </c>
      <c r="G72" s="881"/>
      <c r="H72" s="48">
        <f t="shared" si="7"/>
        <v>0</v>
      </c>
      <c r="I72" s="881">
        <f>SUM(I73:J76)</f>
        <v>0</v>
      </c>
      <c r="J72" s="881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82"/>
      <c r="C73" s="882"/>
      <c r="D73" s="882"/>
      <c r="E73" s="882"/>
      <c r="F73" s="882"/>
      <c r="G73" s="882"/>
      <c r="H73" s="51">
        <f t="shared" si="7"/>
        <v>0</v>
      </c>
      <c r="I73" s="882"/>
      <c r="J73" s="882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82"/>
      <c r="C74" s="882"/>
      <c r="D74" s="882"/>
      <c r="E74" s="882"/>
      <c r="F74" s="882"/>
      <c r="G74" s="882"/>
      <c r="H74" s="51">
        <f t="shared" si="7"/>
        <v>0</v>
      </c>
      <c r="I74" s="882"/>
      <c r="J74" s="882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85"/>
      <c r="C75" s="885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85"/>
      <c r="C76" s="885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86">
        <f>+B127</f>
        <v>0</v>
      </c>
      <c r="C77" s="886"/>
      <c r="D77" s="886">
        <f>+D127</f>
        <v>0</v>
      </c>
      <c r="E77" s="886"/>
      <c r="F77" s="886">
        <f>+F127</f>
        <v>0</v>
      </c>
      <c r="G77" s="886"/>
      <c r="H77" s="71">
        <f t="shared" si="7"/>
        <v>0</v>
      </c>
      <c r="I77" s="886">
        <f>+I127</f>
        <v>0</v>
      </c>
      <c r="J77" s="886"/>
      <c r="K77" s="71">
        <f t="shared" si="6"/>
        <v>0</v>
      </c>
      <c r="L77" s="72">
        <f>+L127</f>
        <v>0</v>
      </c>
    </row>
    <row r="78" spans="1:12" ht="12.75" customHeight="1">
      <c r="A78" s="73" t="s">
        <v>110</v>
      </c>
      <c r="B78" s="887">
        <f>+B13+B77</f>
        <v>35086000</v>
      </c>
      <c r="C78" s="887"/>
      <c r="D78" s="887">
        <f>+D13+D77</f>
        <v>35086000</v>
      </c>
      <c r="E78" s="887"/>
      <c r="F78" s="887">
        <f>+F13+F77</f>
        <v>4742415.91</v>
      </c>
      <c r="G78" s="887"/>
      <c r="H78" s="74"/>
      <c r="I78" s="887">
        <f>+I13+I77</f>
        <v>11922801.56</v>
      </c>
      <c r="J78" s="887"/>
      <c r="K78" s="74"/>
      <c r="L78" s="75">
        <f>+L13+L77</f>
        <v>23163198.439999998</v>
      </c>
    </row>
    <row r="79" spans="1:12" ht="14.25" customHeight="1">
      <c r="A79" s="76" t="s">
        <v>111</v>
      </c>
      <c r="B79" s="888">
        <f>+B80+B83</f>
        <v>0</v>
      </c>
      <c r="C79" s="888"/>
      <c r="D79" s="888">
        <f>+D80+D83</f>
        <v>0</v>
      </c>
      <c r="E79" s="888"/>
      <c r="F79" s="888">
        <f>+F80+F83</f>
        <v>0</v>
      </c>
      <c r="G79" s="888"/>
      <c r="H79" s="71">
        <f aca="true" t="shared" si="8" ref="H79:H85">IF(D79="",0,IF(D79=0,0,+F79/D79))</f>
        <v>0</v>
      </c>
      <c r="I79" s="888">
        <f>+I80+I83</f>
        <v>0</v>
      </c>
      <c r="J79" s="888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80">
        <f>SUM(B81:C82)</f>
        <v>0</v>
      </c>
      <c r="C80" s="880"/>
      <c r="D80" s="880">
        <f>SUM(D81:E82)</f>
        <v>0</v>
      </c>
      <c r="E80" s="880"/>
      <c r="F80" s="880">
        <f>SUM(F81:G82)</f>
        <v>0</v>
      </c>
      <c r="G80" s="880"/>
      <c r="H80" s="78">
        <f t="shared" si="8"/>
        <v>0</v>
      </c>
      <c r="I80" s="880">
        <f>SUM(I81:J82)</f>
        <v>0</v>
      </c>
      <c r="J80" s="880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82"/>
      <c r="C81" s="882"/>
      <c r="D81" s="882"/>
      <c r="E81" s="882"/>
      <c r="F81" s="882"/>
      <c r="G81" s="882"/>
      <c r="H81" s="51">
        <f t="shared" si="8"/>
        <v>0</v>
      </c>
      <c r="I81" s="882"/>
      <c r="J81" s="882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82"/>
      <c r="C82" s="882"/>
      <c r="D82" s="882"/>
      <c r="E82" s="882"/>
      <c r="F82" s="882"/>
      <c r="G82" s="882"/>
      <c r="H82" s="51">
        <f t="shared" si="8"/>
        <v>0</v>
      </c>
      <c r="I82" s="882"/>
      <c r="J82" s="882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80">
        <f>SUM(B84:C85)</f>
        <v>0</v>
      </c>
      <c r="C83" s="880"/>
      <c r="D83" s="880">
        <f>SUM(D84:E85)</f>
        <v>0</v>
      </c>
      <c r="E83" s="880"/>
      <c r="F83" s="880">
        <f>SUM(F84:G85)</f>
        <v>0</v>
      </c>
      <c r="G83" s="880"/>
      <c r="H83" s="78">
        <f t="shared" si="8"/>
        <v>0</v>
      </c>
      <c r="I83" s="880">
        <f>SUM(I84:J85)</f>
        <v>0</v>
      </c>
      <c r="J83" s="880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82"/>
      <c r="C84" s="882"/>
      <c r="D84" s="882"/>
      <c r="E84" s="882"/>
      <c r="F84" s="882"/>
      <c r="G84" s="882"/>
      <c r="H84" s="51">
        <f t="shared" si="8"/>
        <v>0</v>
      </c>
      <c r="I84" s="882"/>
      <c r="J84" s="882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82"/>
      <c r="C85" s="882"/>
      <c r="D85" s="882"/>
      <c r="E85" s="882"/>
      <c r="F85" s="882"/>
      <c r="G85" s="882"/>
      <c r="H85" s="51">
        <f t="shared" si="8"/>
        <v>0</v>
      </c>
      <c r="I85" s="882"/>
      <c r="J85" s="882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7">
        <f>+B78+B79</f>
        <v>35086000</v>
      </c>
      <c r="C86" s="887"/>
      <c r="D86" s="887">
        <f>+D78+D79</f>
        <v>35086000</v>
      </c>
      <c r="E86" s="887"/>
      <c r="F86" s="887">
        <f>+F78+F79</f>
        <v>4742415.91</v>
      </c>
      <c r="G86" s="887"/>
      <c r="H86" s="74"/>
      <c r="I86" s="887">
        <f>+I78+I79</f>
        <v>11922801.56</v>
      </c>
      <c r="J86" s="887"/>
      <c r="K86" s="74"/>
      <c r="L86" s="75">
        <f t="shared" si="10"/>
        <v>23163198.439999998</v>
      </c>
    </row>
    <row r="87" spans="1:12" ht="12.75" customHeight="1">
      <c r="A87" s="80" t="s">
        <v>117</v>
      </c>
      <c r="B87" s="889"/>
      <c r="C87" s="889"/>
      <c r="D87" s="889"/>
      <c r="E87" s="889"/>
      <c r="F87" s="889"/>
      <c r="G87" s="889"/>
      <c r="H87" s="74"/>
      <c r="I87" s="890">
        <f>IF(A7="6º Bimestre de 2017",IF(I86-ABS(E117)&lt;0,ABS(E117)-I86,0),IF(I86-ABS(H117)&lt;0,ABS(H117)-I86,0))</f>
        <v>0</v>
      </c>
      <c r="J87" s="890"/>
      <c r="K87" s="74"/>
      <c r="L87" s="82"/>
    </row>
    <row r="88" spans="1:12" ht="12.75" customHeight="1">
      <c r="A88" s="83" t="s">
        <v>118</v>
      </c>
      <c r="B88" s="891">
        <f>+B86</f>
        <v>35086000</v>
      </c>
      <c r="C88" s="891"/>
      <c r="D88" s="891">
        <f>+D86</f>
        <v>35086000</v>
      </c>
      <c r="E88" s="891"/>
      <c r="F88" s="891">
        <f>+F86</f>
        <v>4742415.91</v>
      </c>
      <c r="G88" s="891"/>
      <c r="H88" s="74"/>
      <c r="I88" s="891">
        <f>+I87+I86</f>
        <v>11922801.56</v>
      </c>
      <c r="J88" s="891"/>
      <c r="K88" s="74"/>
      <c r="L88" s="84">
        <f>+D88-I88</f>
        <v>23163198.439999998</v>
      </c>
    </row>
    <row r="89" spans="1:12" ht="14.25" customHeight="1">
      <c r="A89" s="85" t="s">
        <v>119</v>
      </c>
      <c r="B89" s="892"/>
      <c r="C89" s="892"/>
      <c r="D89" s="892"/>
      <c r="E89" s="892"/>
      <c r="F89" s="889"/>
      <c r="G89" s="889"/>
      <c r="H89" s="74"/>
      <c r="I89" s="893"/>
      <c r="J89" s="893"/>
      <c r="K89" s="74"/>
      <c r="L89" s="81"/>
    </row>
    <row r="90" spans="1:12" ht="14.25" customHeight="1">
      <c r="A90" s="86" t="s">
        <v>120</v>
      </c>
      <c r="B90" s="892"/>
      <c r="C90" s="892"/>
      <c r="D90" s="892"/>
      <c r="E90" s="892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121</v>
      </c>
      <c r="B91" s="889"/>
      <c r="C91" s="889"/>
      <c r="D91" s="892"/>
      <c r="E91" s="892"/>
      <c r="F91" s="889"/>
      <c r="G91" s="889"/>
      <c r="H91" s="74"/>
      <c r="I91" s="892"/>
      <c r="J91" s="892"/>
      <c r="K91" s="74"/>
      <c r="L91" s="81"/>
    </row>
    <row r="92" spans="1:12" ht="12.75" customHeight="1">
      <c r="A92" s="86" t="s">
        <v>122</v>
      </c>
      <c r="B92" s="889"/>
      <c r="C92" s="889"/>
      <c r="D92" s="892"/>
      <c r="E92" s="892"/>
      <c r="F92" s="889"/>
      <c r="G92" s="889"/>
      <c r="H92" s="74"/>
      <c r="I92" s="892"/>
      <c r="J92" s="892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94" t="s">
        <v>123</v>
      </c>
      <c r="C94" s="894" t="s">
        <v>124</v>
      </c>
      <c r="D94" s="895" t="s">
        <v>125</v>
      </c>
      <c r="E94" s="895"/>
      <c r="F94" s="88" t="s">
        <v>35</v>
      </c>
      <c r="G94" s="895" t="s">
        <v>126</v>
      </c>
      <c r="H94" s="895"/>
      <c r="I94" s="896" t="s">
        <v>35</v>
      </c>
      <c r="J94" s="894" t="s">
        <v>127</v>
      </c>
      <c r="K94" s="897" t="s">
        <v>128</v>
      </c>
      <c r="L94" s="897"/>
    </row>
    <row r="95" spans="1:12" ht="14.25" customHeight="1">
      <c r="A95" s="89" t="s">
        <v>129</v>
      </c>
      <c r="B95" s="894"/>
      <c r="C95" s="894"/>
      <c r="D95" s="898" t="s">
        <v>36</v>
      </c>
      <c r="E95" s="899" t="s">
        <v>38</v>
      </c>
      <c r="F95" s="90"/>
      <c r="G95" s="898" t="s">
        <v>36</v>
      </c>
      <c r="H95" s="899" t="s">
        <v>38</v>
      </c>
      <c r="I95" s="896"/>
      <c r="J95" s="894"/>
      <c r="K95" s="897"/>
      <c r="L95" s="897"/>
    </row>
    <row r="96" spans="1:12" ht="14.25" customHeight="1">
      <c r="A96" s="91"/>
      <c r="B96" s="894"/>
      <c r="C96" s="894"/>
      <c r="D96" s="894"/>
      <c r="E96" s="899"/>
      <c r="F96" s="90"/>
      <c r="G96" s="898"/>
      <c r="H96" s="899"/>
      <c r="I96" s="896"/>
      <c r="J96" s="894"/>
      <c r="K96" s="897"/>
      <c r="L96" s="897"/>
    </row>
    <row r="97" spans="1:12" ht="12.75" customHeight="1">
      <c r="A97" s="92"/>
      <c r="B97" s="93" t="s">
        <v>130</v>
      </c>
      <c r="C97" s="93" t="s">
        <v>131</v>
      </c>
      <c r="D97" s="898"/>
      <c r="E97" s="93" t="s">
        <v>132</v>
      </c>
      <c r="F97" s="94" t="s">
        <v>133</v>
      </c>
      <c r="G97" s="898"/>
      <c r="H97" s="93" t="s">
        <v>134</v>
      </c>
      <c r="I97" s="93" t="s">
        <v>135</v>
      </c>
      <c r="J97" s="93" t="s">
        <v>136</v>
      </c>
      <c r="K97" s="900" t="s">
        <v>137</v>
      </c>
      <c r="L97" s="900"/>
    </row>
    <row r="98" spans="1:12" ht="12.75" customHeight="1">
      <c r="A98" s="95" t="s">
        <v>138</v>
      </c>
      <c r="B98" s="77">
        <f aca="true" t="shared" si="11" ref="B98:K98">+B99+B103+B107</f>
        <v>35086000</v>
      </c>
      <c r="C98" s="77">
        <f t="shared" si="11"/>
        <v>37146682.76</v>
      </c>
      <c r="D98" s="77">
        <f t="shared" si="11"/>
        <v>6637777.52</v>
      </c>
      <c r="E98" s="77">
        <f t="shared" si="11"/>
        <v>18513156.59</v>
      </c>
      <c r="F98" s="77">
        <f t="shared" si="11"/>
        <v>18633526.169999998</v>
      </c>
      <c r="G98" s="77">
        <f t="shared" si="11"/>
        <v>4757037.3100000005</v>
      </c>
      <c r="H98" s="77">
        <f t="shared" si="11"/>
        <v>10592824.4</v>
      </c>
      <c r="I98" s="77">
        <f t="shared" si="11"/>
        <v>26553858.36</v>
      </c>
      <c r="J98" s="77">
        <f t="shared" si="11"/>
        <v>10544989.41</v>
      </c>
      <c r="K98" s="879">
        <f t="shared" si="11"/>
        <v>7920332.19</v>
      </c>
      <c r="L98" s="879"/>
    </row>
    <row r="99" spans="1:12" ht="12.75" customHeight="1">
      <c r="A99" s="96" t="s">
        <v>139</v>
      </c>
      <c r="B99" s="46">
        <f aca="true" t="shared" si="12" ref="B99:K99">SUM(B100:B102)</f>
        <v>23177500</v>
      </c>
      <c r="C99" s="46">
        <f t="shared" si="12"/>
        <v>29755978.2</v>
      </c>
      <c r="D99" s="46">
        <f t="shared" si="12"/>
        <v>5470349.13</v>
      </c>
      <c r="E99" s="46">
        <f t="shared" si="12"/>
        <v>16786226.23</v>
      </c>
      <c r="F99" s="46">
        <f t="shared" si="12"/>
        <v>12969751.969999999</v>
      </c>
      <c r="G99" s="46">
        <f t="shared" si="12"/>
        <v>4578353.91</v>
      </c>
      <c r="H99" s="46">
        <f t="shared" si="12"/>
        <v>10341231.030000001</v>
      </c>
      <c r="I99" s="46">
        <f t="shared" si="12"/>
        <v>19414747.169999998</v>
      </c>
      <c r="J99" s="46">
        <f t="shared" si="12"/>
        <v>10293396.040000001</v>
      </c>
      <c r="K99" s="880">
        <f t="shared" si="12"/>
        <v>6444995.2</v>
      </c>
      <c r="L99" s="880"/>
    </row>
    <row r="100" spans="1:12" s="34" customFormat="1" ht="12.75" customHeight="1">
      <c r="A100" s="97" t="s">
        <v>140</v>
      </c>
      <c r="B100" s="98">
        <v>14211500</v>
      </c>
      <c r="C100" s="98">
        <v>14639040.68</v>
      </c>
      <c r="D100" s="98">
        <v>3117616.13</v>
      </c>
      <c r="E100" s="98">
        <v>7618106.87</v>
      </c>
      <c r="F100" s="49">
        <f>+C100-E100</f>
        <v>7020933.81</v>
      </c>
      <c r="G100" s="99">
        <v>3117616.13</v>
      </c>
      <c r="H100" s="99">
        <v>7618106.87</v>
      </c>
      <c r="I100" s="100">
        <f aca="true" t="shared" si="13" ref="I100:I107">+C100-H100</f>
        <v>7020933.81</v>
      </c>
      <c r="J100" s="101">
        <v>7608278.04</v>
      </c>
      <c r="K100" s="901"/>
      <c r="L100" s="901"/>
    </row>
    <row r="101" spans="1:12" ht="12.75" customHeight="1">
      <c r="A101" s="97" t="s">
        <v>141</v>
      </c>
      <c r="B101" s="98">
        <v>11000</v>
      </c>
      <c r="C101" s="98">
        <v>11000</v>
      </c>
      <c r="D101" s="98">
        <v>48.39</v>
      </c>
      <c r="E101" s="98">
        <v>4872.19</v>
      </c>
      <c r="F101" s="49">
        <f>+C101-E101</f>
        <v>6127.81</v>
      </c>
      <c r="G101" s="99">
        <v>48.39</v>
      </c>
      <c r="H101" s="99">
        <v>4872.19</v>
      </c>
      <c r="I101" s="100">
        <f t="shared" si="13"/>
        <v>6127.81</v>
      </c>
      <c r="J101" s="98">
        <v>4872.19</v>
      </c>
      <c r="K101" s="901"/>
      <c r="L101" s="901"/>
    </row>
    <row r="102" spans="1:12" ht="12.75" customHeight="1">
      <c r="A102" s="97" t="s">
        <v>142</v>
      </c>
      <c r="B102" s="98">
        <v>8955000</v>
      </c>
      <c r="C102" s="98">
        <v>15105937.52</v>
      </c>
      <c r="D102" s="98">
        <v>2352684.61</v>
      </c>
      <c r="E102" s="98">
        <v>9163247.17</v>
      </c>
      <c r="F102" s="49">
        <f>+C102-E102</f>
        <v>5942690.35</v>
      </c>
      <c r="G102" s="99">
        <v>1460689.39</v>
      </c>
      <c r="H102" s="99">
        <v>2718251.97</v>
      </c>
      <c r="I102" s="100">
        <f t="shared" si="13"/>
        <v>12387685.549999999</v>
      </c>
      <c r="J102" s="98">
        <v>2680245.81</v>
      </c>
      <c r="K102" s="901">
        <v>6444995.2</v>
      </c>
      <c r="L102" s="901"/>
    </row>
    <row r="103" spans="1:12" s="34" customFormat="1" ht="12.75" customHeight="1">
      <c r="A103" s="96" t="s">
        <v>143</v>
      </c>
      <c r="B103" s="46">
        <f aca="true" t="shared" si="14" ref="B103:H103">SUM(B104:B106)</f>
        <v>11608500</v>
      </c>
      <c r="C103" s="46">
        <f t="shared" si="14"/>
        <v>7090704.56</v>
      </c>
      <c r="D103" s="46">
        <f t="shared" si="14"/>
        <v>1167428.39</v>
      </c>
      <c r="E103" s="46">
        <f t="shared" si="14"/>
        <v>1726930.3599999999</v>
      </c>
      <c r="F103" s="46">
        <f t="shared" si="14"/>
        <v>5363774.2</v>
      </c>
      <c r="G103" s="46">
        <f t="shared" si="14"/>
        <v>178683.4</v>
      </c>
      <c r="H103" s="46">
        <f t="shared" si="14"/>
        <v>251593.37</v>
      </c>
      <c r="I103" s="46">
        <f t="shared" si="13"/>
        <v>6839111.1899999995</v>
      </c>
      <c r="J103" s="46">
        <f>SUM(J104:J106)</f>
        <v>251593.37</v>
      </c>
      <c r="K103" s="880">
        <f>SUM(K104:K106)</f>
        <v>1475336.99</v>
      </c>
      <c r="L103" s="880"/>
    </row>
    <row r="104" spans="1:12" ht="12.75" customHeight="1">
      <c r="A104" s="97" t="s">
        <v>144</v>
      </c>
      <c r="B104" s="98">
        <v>11428500</v>
      </c>
      <c r="C104" s="98">
        <v>6910704.56</v>
      </c>
      <c r="D104" s="98">
        <v>1130952.39</v>
      </c>
      <c r="E104" s="98">
        <v>1617544.39</v>
      </c>
      <c r="F104" s="49">
        <f>+C104-E104</f>
        <v>5293160.17</v>
      </c>
      <c r="G104" s="99">
        <v>142207.4</v>
      </c>
      <c r="H104" s="99">
        <v>142207.4</v>
      </c>
      <c r="I104" s="100">
        <f t="shared" si="13"/>
        <v>6768497.159999999</v>
      </c>
      <c r="J104" s="98">
        <v>142207.4</v>
      </c>
      <c r="K104" s="901">
        <v>1475336.99</v>
      </c>
      <c r="L104" s="901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>+C105-E105</f>
        <v>0</v>
      </c>
      <c r="G105" s="99"/>
      <c r="H105" s="99">
        <v>0</v>
      </c>
      <c r="I105" s="100">
        <f t="shared" si="13"/>
        <v>0</v>
      </c>
      <c r="J105" s="98"/>
      <c r="K105" s="901"/>
      <c r="L105" s="901"/>
    </row>
    <row r="106" spans="1:12" ht="12.75" customHeight="1">
      <c r="A106" s="97" t="s">
        <v>146</v>
      </c>
      <c r="B106" s="98">
        <v>180000</v>
      </c>
      <c r="C106" s="98">
        <v>180000</v>
      </c>
      <c r="D106" s="98">
        <v>36476</v>
      </c>
      <c r="E106" s="98">
        <v>109385.97</v>
      </c>
      <c r="F106" s="49">
        <f>+C106-E106</f>
        <v>70614.03</v>
      </c>
      <c r="G106" s="99">
        <v>36476</v>
      </c>
      <c r="H106" s="99">
        <v>109385.97</v>
      </c>
      <c r="I106" s="100">
        <f t="shared" si="13"/>
        <v>70614.03</v>
      </c>
      <c r="J106" s="98">
        <v>109385.97</v>
      </c>
      <c r="K106" s="901"/>
      <c r="L106" s="901"/>
    </row>
    <row r="107" spans="1:13" ht="12.75" customHeight="1">
      <c r="A107" s="96" t="s">
        <v>147</v>
      </c>
      <c r="B107" s="98">
        <v>300000</v>
      </c>
      <c r="C107" s="98">
        <v>300000</v>
      </c>
      <c r="D107" s="81"/>
      <c r="E107" s="81"/>
      <c r="F107" s="102">
        <f>+C107-E107</f>
        <v>300000</v>
      </c>
      <c r="G107" s="81"/>
      <c r="H107" s="81"/>
      <c r="I107" s="102">
        <f t="shared" si="13"/>
        <v>300000</v>
      </c>
      <c r="J107" s="81"/>
      <c r="K107" s="889"/>
      <c r="L107" s="889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79">
        <f t="shared" si="15"/>
        <v>0</v>
      </c>
      <c r="L108" s="879"/>
    </row>
    <row r="109" spans="1:12" ht="12.75" customHeight="1">
      <c r="A109" s="106" t="s">
        <v>149</v>
      </c>
      <c r="B109" s="107">
        <f>+B98+B108</f>
        <v>35086000</v>
      </c>
      <c r="C109" s="107">
        <f>+C98+C108</f>
        <v>37146682.76</v>
      </c>
      <c r="D109" s="107">
        <f>+D98+D108</f>
        <v>6637777.52</v>
      </c>
      <c r="E109" s="107">
        <f>+E98+E108</f>
        <v>18513156.59</v>
      </c>
      <c r="F109" s="107">
        <f>+F108+C108</f>
        <v>0</v>
      </c>
      <c r="G109" s="107">
        <f>+G98+G108</f>
        <v>4757037.3100000005</v>
      </c>
      <c r="H109" s="107">
        <f>+H98+H108</f>
        <v>10592824.4</v>
      </c>
      <c r="I109" s="108">
        <f>+I108+I108</f>
        <v>0</v>
      </c>
      <c r="J109" s="107">
        <f>+J108+J98</f>
        <v>10544989.41</v>
      </c>
      <c r="K109" s="887">
        <f>K108+K98</f>
        <v>7920332.19</v>
      </c>
      <c r="L109" s="887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80">
        <f t="shared" si="16"/>
        <v>0</v>
      </c>
      <c r="L110" s="880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81">
        <f t="shared" si="17"/>
        <v>0</v>
      </c>
      <c r="L111" s="881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82"/>
      <c r="L112" s="882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82"/>
      <c r="L113" s="882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81">
        <f>SUM(K115:K116)</f>
        <v>0</v>
      </c>
      <c r="L114" s="881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82"/>
      <c r="L115" s="882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82"/>
      <c r="L116" s="882"/>
    </row>
    <row r="117" spans="1:12" ht="12.75" customHeight="1">
      <c r="A117" s="113" t="s">
        <v>155</v>
      </c>
      <c r="B117" s="75">
        <f aca="true" t="shared" si="18" ref="B117:K117">+B109+B110</f>
        <v>35086000</v>
      </c>
      <c r="C117" s="75">
        <f t="shared" si="18"/>
        <v>37146682.76</v>
      </c>
      <c r="D117" s="75">
        <f t="shared" si="18"/>
        <v>6637777.52</v>
      </c>
      <c r="E117" s="75">
        <f t="shared" si="18"/>
        <v>18513156.59</v>
      </c>
      <c r="F117" s="75">
        <f t="shared" si="18"/>
        <v>0</v>
      </c>
      <c r="G117" s="75">
        <f t="shared" si="18"/>
        <v>4757037.3100000005</v>
      </c>
      <c r="H117" s="75">
        <f t="shared" si="18"/>
        <v>10592824.4</v>
      </c>
      <c r="I117" s="75">
        <f t="shared" si="18"/>
        <v>0</v>
      </c>
      <c r="J117" s="75">
        <f t="shared" si="18"/>
        <v>10544989.41</v>
      </c>
      <c r="K117" s="887">
        <f t="shared" si="18"/>
        <v>7920332.19</v>
      </c>
      <c r="L117" s="887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f>IF($I$86-H117&lt;0,0,$I$86-H117)</f>
        <v>1329977.1600000001</v>
      </c>
      <c r="I118" s="81"/>
      <c r="J118" s="114"/>
      <c r="K118" s="889"/>
      <c r="L118" s="889"/>
      <c r="M118" s="34"/>
    </row>
    <row r="119" spans="1:13" ht="12.75" customHeight="1">
      <c r="A119" s="115" t="s">
        <v>157</v>
      </c>
      <c r="B119" s="116">
        <f>+B118+B117</f>
        <v>35086000</v>
      </c>
      <c r="C119" s="116">
        <f>+C118+C117</f>
        <v>37146682.76</v>
      </c>
      <c r="D119" s="116">
        <f>+D118+D117</f>
        <v>6637777.52</v>
      </c>
      <c r="E119" s="116">
        <f>+E118+E117</f>
        <v>18513156.59</v>
      </c>
      <c r="F119" s="81"/>
      <c r="G119" s="81"/>
      <c r="H119" s="116">
        <f>+H118+H117</f>
        <v>11922801.56</v>
      </c>
      <c r="I119" s="81"/>
      <c r="J119" s="116">
        <f>+J118+J117</f>
        <v>10544989.41</v>
      </c>
      <c r="K119" s="889"/>
      <c r="L119" s="889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902" t="s">
        <v>159</v>
      </c>
      <c r="B121" s="902"/>
      <c r="C121" s="902"/>
      <c r="D121" s="902"/>
      <c r="E121" s="902"/>
      <c r="F121" s="902"/>
      <c r="G121" s="902"/>
      <c r="H121" s="902"/>
      <c r="I121" s="902"/>
      <c r="J121" s="902"/>
      <c r="K121" s="902"/>
      <c r="L121" s="24"/>
      <c r="M121" s="117"/>
    </row>
    <row r="122" spans="1:12" ht="12.75" customHeight="1">
      <c r="A122" s="903" t="s">
        <v>160</v>
      </c>
      <c r="B122" s="903"/>
      <c r="C122" s="90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73" t="s">
        <v>32</v>
      </c>
      <c r="C124" s="873"/>
      <c r="D124" s="873" t="s">
        <v>33</v>
      </c>
      <c r="E124" s="873"/>
      <c r="F124" s="904" t="s">
        <v>34</v>
      </c>
      <c r="G124" s="904"/>
      <c r="H124" s="904"/>
      <c r="I124" s="904"/>
      <c r="J124" s="904"/>
      <c r="K124" s="904"/>
      <c r="L124" s="123" t="s">
        <v>35</v>
      </c>
    </row>
    <row r="125" spans="1:12" ht="11.25" customHeight="1">
      <c r="A125" s="125" t="s">
        <v>161</v>
      </c>
      <c r="B125" s="873"/>
      <c r="C125" s="873"/>
      <c r="D125" s="873"/>
      <c r="E125" s="873"/>
      <c r="F125" s="876" t="s">
        <v>36</v>
      </c>
      <c r="G125" s="876"/>
      <c r="H125" s="36" t="s">
        <v>37</v>
      </c>
      <c r="I125" s="877" t="s">
        <v>38</v>
      </c>
      <c r="J125" s="877"/>
      <c r="K125" s="37" t="s">
        <v>37</v>
      </c>
      <c r="L125" s="35"/>
    </row>
    <row r="126" spans="1:12" ht="11.25" customHeight="1">
      <c r="A126" s="126"/>
      <c r="B126" s="127"/>
      <c r="C126" s="128"/>
      <c r="D126" s="878" t="s">
        <v>39</v>
      </c>
      <c r="E126" s="878"/>
      <c r="F126" s="878" t="s">
        <v>40</v>
      </c>
      <c r="G126" s="878"/>
      <c r="H126" s="39" t="s">
        <v>41</v>
      </c>
      <c r="I126" s="878" t="s">
        <v>42</v>
      </c>
      <c r="J126" s="878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79">
        <f>+B128+B169</f>
        <v>0</v>
      </c>
      <c r="C127" s="879"/>
      <c r="D127" s="879">
        <f>+D128+D169</f>
        <v>0</v>
      </c>
      <c r="E127" s="879"/>
      <c r="F127" s="879">
        <f>+F128+F169</f>
        <v>0</v>
      </c>
      <c r="G127" s="879"/>
      <c r="H127" s="71">
        <f>IF($D127="",0,IF($D127=0,0,+F127/$D127))</f>
        <v>0</v>
      </c>
      <c r="I127" s="879">
        <f>+I128+I169</f>
        <v>0</v>
      </c>
      <c r="J127" s="879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80">
        <f>+B129+B133+B138+B147+B148+B149+B155+B164</f>
        <v>0</v>
      </c>
      <c r="C128" s="880"/>
      <c r="D128" s="880">
        <f>+D129+D133+D138+D147+D148+D149+D155+D164</f>
        <v>0</v>
      </c>
      <c r="E128" s="880"/>
      <c r="F128" s="880">
        <f>+F129+F133+F138+F147+F148+F149+F155+F164</f>
        <v>0</v>
      </c>
      <c r="G128" s="880"/>
      <c r="H128" s="130">
        <f>IF($D128="",0,IF($D128=0,0,+F128/$D128))</f>
        <v>0</v>
      </c>
      <c r="I128" s="880">
        <f>+I129+I133+I138+I147+I148+I149+I155+I164</f>
        <v>0</v>
      </c>
      <c r="J128" s="880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81">
        <f>SUM(B130:C132)</f>
        <v>0</v>
      </c>
      <c r="C129" s="881"/>
      <c r="D129" s="881">
        <f>SUM(D130:E132)</f>
        <v>0</v>
      </c>
      <c r="E129" s="881"/>
      <c r="F129" s="881">
        <f>SUM(F130:G132)</f>
        <v>0</v>
      </c>
      <c r="G129" s="881"/>
      <c r="H129" s="51">
        <f>IF($D129="",0,IF($D129=0,0,+F129/$D129))</f>
        <v>0</v>
      </c>
      <c r="I129" s="881">
        <f>SUM(I130:J132)</f>
        <v>0</v>
      </c>
      <c r="J129" s="881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82"/>
      <c r="C130" s="882"/>
      <c r="D130" s="882"/>
      <c r="E130" s="882"/>
      <c r="F130" s="882"/>
      <c r="G130" s="882"/>
      <c r="H130" s="51">
        <f>IF($D130="",0,IF($D130=0,0,+F130/$D130))</f>
        <v>0</v>
      </c>
      <c r="I130" s="882"/>
      <c r="J130" s="882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82"/>
      <c r="C131" s="882"/>
      <c r="D131" s="882"/>
      <c r="E131" s="882"/>
      <c r="F131" s="882"/>
      <c r="G131" s="882"/>
      <c r="H131" s="51">
        <f aca="true" t="shared" si="21" ref="H131:H191">IF(D131="",0,IF(D131=0,0,+F131/D131))</f>
        <v>0</v>
      </c>
      <c r="I131" s="882"/>
      <c r="J131" s="882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82"/>
      <c r="C132" s="882"/>
      <c r="D132" s="882"/>
      <c r="E132" s="882"/>
      <c r="F132" s="882"/>
      <c r="G132" s="882"/>
      <c r="H132" s="51">
        <f t="shared" si="21"/>
        <v>0</v>
      </c>
      <c r="I132" s="882"/>
      <c r="J132" s="882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81">
        <f>SUM(B134:C137)</f>
        <v>0</v>
      </c>
      <c r="C133" s="881"/>
      <c r="D133" s="881">
        <f>SUM(D134:E137)</f>
        <v>0</v>
      </c>
      <c r="E133" s="881"/>
      <c r="F133" s="881">
        <f>SUM(F134:G137)</f>
        <v>0</v>
      </c>
      <c r="G133" s="881"/>
      <c r="H133" s="51">
        <f t="shared" si="21"/>
        <v>0</v>
      </c>
      <c r="I133" s="881">
        <f>SUM(I134:J137)</f>
        <v>0</v>
      </c>
      <c r="J133" s="881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82"/>
      <c r="C134" s="882"/>
      <c r="D134" s="882"/>
      <c r="E134" s="882"/>
      <c r="F134" s="882"/>
      <c r="G134" s="882"/>
      <c r="H134" s="51">
        <f t="shared" si="21"/>
        <v>0</v>
      </c>
      <c r="I134" s="882"/>
      <c r="J134" s="882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82"/>
      <c r="C135" s="882"/>
      <c r="D135" s="882"/>
      <c r="E135" s="882"/>
      <c r="F135" s="882"/>
      <c r="G135" s="882"/>
      <c r="H135" s="51">
        <f t="shared" si="21"/>
        <v>0</v>
      </c>
      <c r="I135" s="882"/>
      <c r="J135" s="882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82"/>
      <c r="C136" s="882"/>
      <c r="D136" s="882"/>
      <c r="E136" s="882"/>
      <c r="F136" s="882"/>
      <c r="G136" s="882"/>
      <c r="H136" s="51">
        <f t="shared" si="21"/>
        <v>0</v>
      </c>
      <c r="I136" s="882"/>
      <c r="J136" s="882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82"/>
      <c r="C137" s="882"/>
      <c r="D137" s="882"/>
      <c r="E137" s="882"/>
      <c r="F137" s="882"/>
      <c r="G137" s="882"/>
      <c r="H137" s="51">
        <f t="shared" si="21"/>
        <v>0</v>
      </c>
      <c r="I137" s="882"/>
      <c r="J137" s="882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81">
        <f>SUM(B139:C146)</f>
        <v>0</v>
      </c>
      <c r="C138" s="881"/>
      <c r="D138" s="881">
        <f>SUM(D139:E146)</f>
        <v>0</v>
      </c>
      <c r="E138" s="881"/>
      <c r="F138" s="881">
        <f>SUM(F139:G146)</f>
        <v>0</v>
      </c>
      <c r="G138" s="881"/>
      <c r="H138" s="51">
        <f t="shared" si="21"/>
        <v>0</v>
      </c>
      <c r="I138" s="881">
        <f>SUM(I139:J146)</f>
        <v>0</v>
      </c>
      <c r="J138" s="881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82"/>
      <c r="C139" s="882"/>
      <c r="D139" s="882"/>
      <c r="E139" s="882"/>
      <c r="F139" s="882"/>
      <c r="G139" s="882"/>
      <c r="H139" s="51">
        <f t="shared" si="21"/>
        <v>0</v>
      </c>
      <c r="I139" s="882"/>
      <c r="J139" s="882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82"/>
      <c r="C140" s="882"/>
      <c r="D140" s="882"/>
      <c r="E140" s="882"/>
      <c r="F140" s="882"/>
      <c r="G140" s="882"/>
      <c r="H140" s="51">
        <f t="shared" si="21"/>
        <v>0</v>
      </c>
      <c r="I140" s="882"/>
      <c r="J140" s="882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82"/>
      <c r="C141" s="882"/>
      <c r="D141" s="882"/>
      <c r="E141" s="882"/>
      <c r="F141" s="882"/>
      <c r="G141" s="882"/>
      <c r="H141" s="51">
        <f t="shared" si="21"/>
        <v>0</v>
      </c>
      <c r="I141" s="882"/>
      <c r="J141" s="882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82"/>
      <c r="C142" s="882"/>
      <c r="D142" s="882"/>
      <c r="E142" s="882"/>
      <c r="F142" s="882"/>
      <c r="G142" s="882"/>
      <c r="H142" s="51">
        <f t="shared" si="21"/>
        <v>0</v>
      </c>
      <c r="I142" s="882"/>
      <c r="J142" s="882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83"/>
      <c r="C143" s="883"/>
      <c r="D143" s="883"/>
      <c r="E143" s="883"/>
      <c r="F143" s="883"/>
      <c r="G143" s="883"/>
      <c r="H143" s="59">
        <f t="shared" si="21"/>
        <v>0</v>
      </c>
      <c r="I143" s="883"/>
      <c r="J143" s="883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82"/>
      <c r="C144" s="882"/>
      <c r="D144" s="882"/>
      <c r="E144" s="882"/>
      <c r="F144" s="882"/>
      <c r="G144" s="882"/>
      <c r="H144" s="51">
        <f t="shared" si="21"/>
        <v>0</v>
      </c>
      <c r="I144" s="882"/>
      <c r="J144" s="882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82"/>
      <c r="C145" s="882"/>
      <c r="D145" s="882"/>
      <c r="E145" s="882"/>
      <c r="F145" s="882"/>
      <c r="G145" s="882"/>
      <c r="H145" s="51">
        <f t="shared" si="21"/>
        <v>0</v>
      </c>
      <c r="I145" s="882"/>
      <c r="J145" s="882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82"/>
      <c r="C146" s="882"/>
      <c r="D146" s="882"/>
      <c r="E146" s="882"/>
      <c r="F146" s="882"/>
      <c r="G146" s="882"/>
      <c r="H146" s="51">
        <f t="shared" si="21"/>
        <v>0</v>
      </c>
      <c r="I146" s="882"/>
      <c r="J146" s="882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81">
        <v>0</v>
      </c>
      <c r="C147" s="881"/>
      <c r="D147" s="881">
        <v>0</v>
      </c>
      <c r="E147" s="881"/>
      <c r="F147" s="881">
        <v>0</v>
      </c>
      <c r="G147" s="881"/>
      <c r="H147" s="51">
        <f t="shared" si="21"/>
        <v>0</v>
      </c>
      <c r="I147" s="881">
        <v>0</v>
      </c>
      <c r="J147" s="881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81">
        <v>0</v>
      </c>
      <c r="C148" s="881"/>
      <c r="D148" s="881">
        <v>0</v>
      </c>
      <c r="E148" s="881"/>
      <c r="F148" s="881">
        <v>0</v>
      </c>
      <c r="G148" s="881"/>
      <c r="H148" s="51">
        <f t="shared" si="21"/>
        <v>0</v>
      </c>
      <c r="I148" s="881">
        <v>0</v>
      </c>
      <c r="J148" s="881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905">
        <f>SUM(B150:B154)</f>
        <v>0</v>
      </c>
      <c r="C149" s="905">
        <f>SUM(C150:C154)</f>
        <v>0</v>
      </c>
      <c r="D149" s="905">
        <f>SUM(D150:D154)</f>
        <v>0</v>
      </c>
      <c r="E149" s="905"/>
      <c r="F149" s="905">
        <f>SUM(F150:F154)</f>
        <v>0</v>
      </c>
      <c r="G149" s="905"/>
      <c r="H149" s="51">
        <f t="shared" si="21"/>
        <v>0</v>
      </c>
      <c r="I149" s="905">
        <f>SUM(I150:I154)</f>
        <v>0</v>
      </c>
      <c r="J149" s="905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82"/>
      <c r="C150" s="882"/>
      <c r="D150" s="882"/>
      <c r="E150" s="882"/>
      <c r="F150" s="882"/>
      <c r="G150" s="882"/>
      <c r="H150" s="51">
        <f t="shared" si="21"/>
        <v>0</v>
      </c>
      <c r="I150" s="882"/>
      <c r="J150" s="882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82"/>
      <c r="C151" s="882"/>
      <c r="D151" s="882"/>
      <c r="E151" s="882"/>
      <c r="F151" s="882"/>
      <c r="G151" s="882"/>
      <c r="H151" s="51">
        <f t="shared" si="21"/>
        <v>0</v>
      </c>
      <c r="I151" s="882"/>
      <c r="J151" s="882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82"/>
      <c r="C152" s="882"/>
      <c r="D152" s="882"/>
      <c r="E152" s="882"/>
      <c r="F152" s="882"/>
      <c r="G152" s="882"/>
      <c r="H152" s="51">
        <f t="shared" si="21"/>
        <v>0</v>
      </c>
      <c r="I152" s="882"/>
      <c r="J152" s="882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82"/>
      <c r="C153" s="882"/>
      <c r="D153" s="882"/>
      <c r="E153" s="882"/>
      <c r="F153" s="882"/>
      <c r="G153" s="882"/>
      <c r="H153" s="51">
        <f t="shared" si="21"/>
        <v>0</v>
      </c>
      <c r="I153" s="882"/>
      <c r="J153" s="882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82"/>
      <c r="C154" s="882"/>
      <c r="D154" s="882"/>
      <c r="E154" s="882"/>
      <c r="F154" s="882"/>
      <c r="G154" s="882"/>
      <c r="H154" s="51">
        <f t="shared" si="21"/>
        <v>0</v>
      </c>
      <c r="I154" s="882"/>
      <c r="J154" s="882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81">
        <f>SUM(B156:C163)</f>
        <v>0</v>
      </c>
      <c r="C155" s="881"/>
      <c r="D155" s="881">
        <f>SUM(D156:E163)</f>
        <v>0</v>
      </c>
      <c r="E155" s="881"/>
      <c r="F155" s="881">
        <f>SUM(F156:G163)</f>
        <v>0</v>
      </c>
      <c r="G155" s="881"/>
      <c r="H155" s="51">
        <f t="shared" si="21"/>
        <v>0</v>
      </c>
      <c r="I155" s="881">
        <f>SUM(I156:J163)</f>
        <v>0</v>
      </c>
      <c r="J155" s="881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82"/>
      <c r="C156" s="882"/>
      <c r="D156" s="882"/>
      <c r="E156" s="882"/>
      <c r="F156" s="882"/>
      <c r="G156" s="882"/>
      <c r="H156" s="51">
        <f t="shared" si="21"/>
        <v>0</v>
      </c>
      <c r="I156" s="882"/>
      <c r="J156" s="882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82"/>
      <c r="C157" s="882"/>
      <c r="D157" s="882"/>
      <c r="E157" s="882"/>
      <c r="F157" s="882"/>
      <c r="G157" s="882"/>
      <c r="H157" s="51">
        <f t="shared" si="21"/>
        <v>0</v>
      </c>
      <c r="I157" s="882"/>
      <c r="J157" s="882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82"/>
      <c r="C158" s="882"/>
      <c r="D158" s="882"/>
      <c r="E158" s="882"/>
      <c r="F158" s="882"/>
      <c r="G158" s="882"/>
      <c r="H158" s="51">
        <f t="shared" si="21"/>
        <v>0</v>
      </c>
      <c r="I158" s="882"/>
      <c r="J158" s="882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82"/>
      <c r="C159" s="882"/>
      <c r="D159" s="882"/>
      <c r="E159" s="882"/>
      <c r="F159" s="882"/>
      <c r="G159" s="882"/>
      <c r="H159" s="51">
        <f t="shared" si="21"/>
        <v>0</v>
      </c>
      <c r="I159" s="882"/>
      <c r="J159" s="882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82"/>
      <c r="C160" s="882"/>
      <c r="D160" s="882"/>
      <c r="E160" s="882"/>
      <c r="F160" s="882"/>
      <c r="G160" s="882"/>
      <c r="H160" s="51">
        <f t="shared" si="21"/>
        <v>0</v>
      </c>
      <c r="I160" s="882"/>
      <c r="J160" s="882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82"/>
      <c r="C161" s="882"/>
      <c r="D161" s="882"/>
      <c r="E161" s="882"/>
      <c r="F161" s="882"/>
      <c r="G161" s="882"/>
      <c r="H161" s="51">
        <f t="shared" si="21"/>
        <v>0</v>
      </c>
      <c r="I161" s="882"/>
      <c r="J161" s="882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82"/>
      <c r="C162" s="882"/>
      <c r="D162" s="882"/>
      <c r="E162" s="882"/>
      <c r="F162" s="882"/>
      <c r="G162" s="882"/>
      <c r="H162" s="51">
        <f t="shared" si="21"/>
        <v>0</v>
      </c>
      <c r="I162" s="882"/>
      <c r="J162" s="882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82"/>
      <c r="C163" s="882"/>
      <c r="D163" s="882"/>
      <c r="E163" s="882"/>
      <c r="F163" s="882"/>
      <c r="G163" s="882"/>
      <c r="H163" s="51">
        <f t="shared" si="21"/>
        <v>0</v>
      </c>
      <c r="I163" s="882"/>
      <c r="J163" s="882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81">
        <f>SUM(B165:C168)</f>
        <v>0</v>
      </c>
      <c r="C164" s="881"/>
      <c r="D164" s="881">
        <f>SUM(D165:E168)</f>
        <v>0</v>
      </c>
      <c r="E164" s="881"/>
      <c r="F164" s="881">
        <f>SUM(F165:G168)</f>
        <v>0</v>
      </c>
      <c r="G164" s="881"/>
      <c r="H164" s="51">
        <f t="shared" si="21"/>
        <v>0</v>
      </c>
      <c r="I164" s="881">
        <f>SUM(I165:J168)</f>
        <v>0</v>
      </c>
      <c r="J164" s="881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82"/>
      <c r="C165" s="882"/>
      <c r="D165" s="882"/>
      <c r="E165" s="882"/>
      <c r="F165" s="882"/>
      <c r="G165" s="882"/>
      <c r="H165" s="51">
        <f t="shared" si="21"/>
        <v>0</v>
      </c>
      <c r="I165" s="882"/>
      <c r="J165" s="882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82"/>
      <c r="C166" s="882"/>
      <c r="D166" s="882"/>
      <c r="E166" s="882"/>
      <c r="F166" s="882"/>
      <c r="G166" s="882"/>
      <c r="H166" s="51">
        <f t="shared" si="21"/>
        <v>0</v>
      </c>
      <c r="I166" s="882"/>
      <c r="J166" s="882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82"/>
      <c r="C167" s="882"/>
      <c r="D167" s="882"/>
      <c r="E167" s="882"/>
      <c r="F167" s="882"/>
      <c r="G167" s="882"/>
      <c r="H167" s="51">
        <f t="shared" si="21"/>
        <v>0</v>
      </c>
      <c r="I167" s="882"/>
      <c r="J167" s="882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83"/>
      <c r="C168" s="883"/>
      <c r="D168" s="883"/>
      <c r="E168" s="883"/>
      <c r="F168" s="883"/>
      <c r="G168" s="883"/>
      <c r="H168" s="59">
        <f t="shared" si="21"/>
        <v>0</v>
      </c>
      <c r="I168" s="883"/>
      <c r="J168" s="883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80">
        <f>+B170+B173+B177+B178+B187</f>
        <v>0</v>
      </c>
      <c r="C169" s="880"/>
      <c r="D169" s="880">
        <f>+D170+D173+D177+D178+D187</f>
        <v>0</v>
      </c>
      <c r="E169" s="880"/>
      <c r="F169" s="880">
        <f>+F170+F173+F177+F178+F187</f>
        <v>0</v>
      </c>
      <c r="G169" s="880"/>
      <c r="H169" s="130">
        <f t="shared" si="21"/>
        <v>0</v>
      </c>
      <c r="I169" s="880">
        <f>+I170+I173+I177+I178+I187</f>
        <v>0</v>
      </c>
      <c r="J169" s="880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81">
        <f>SUM(B171:C172)</f>
        <v>0</v>
      </c>
      <c r="C170" s="881"/>
      <c r="D170" s="881">
        <f>SUM(D171:E172)</f>
        <v>0</v>
      </c>
      <c r="E170" s="881"/>
      <c r="F170" s="881">
        <f>SUM(F171:G172)</f>
        <v>0</v>
      </c>
      <c r="G170" s="881"/>
      <c r="H170" s="51">
        <f t="shared" si="21"/>
        <v>0</v>
      </c>
      <c r="I170" s="881">
        <f>SUM(I171:J172)</f>
        <v>0</v>
      </c>
      <c r="J170" s="881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82"/>
      <c r="C171" s="882"/>
      <c r="D171" s="882"/>
      <c r="E171" s="882"/>
      <c r="F171" s="882"/>
      <c r="G171" s="882"/>
      <c r="H171" s="51">
        <f t="shared" si="21"/>
        <v>0</v>
      </c>
      <c r="I171" s="882"/>
      <c r="J171" s="882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82"/>
      <c r="C172" s="882"/>
      <c r="D172" s="882"/>
      <c r="E172" s="882"/>
      <c r="F172" s="882"/>
      <c r="G172" s="882"/>
      <c r="H172" s="51">
        <f t="shared" si="21"/>
        <v>0</v>
      </c>
      <c r="I172" s="882"/>
      <c r="J172" s="882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81">
        <f>SUM(B174:C176)</f>
        <v>0</v>
      </c>
      <c r="C173" s="881"/>
      <c r="D173" s="881">
        <f>SUM(D174:E176)</f>
        <v>0</v>
      </c>
      <c r="E173" s="881"/>
      <c r="F173" s="881">
        <f>SUM(F174:G176)</f>
        <v>0</v>
      </c>
      <c r="G173" s="881"/>
      <c r="H173" s="51">
        <f t="shared" si="21"/>
        <v>0</v>
      </c>
      <c r="I173" s="881">
        <f>SUM(I174:J176)</f>
        <v>0</v>
      </c>
      <c r="J173" s="881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82"/>
      <c r="C174" s="882"/>
      <c r="D174" s="882"/>
      <c r="E174" s="882"/>
      <c r="F174" s="882"/>
      <c r="G174" s="882"/>
      <c r="H174" s="51">
        <f t="shared" si="21"/>
        <v>0</v>
      </c>
      <c r="I174" s="882"/>
      <c r="J174" s="882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82"/>
      <c r="C175" s="882"/>
      <c r="D175" s="882"/>
      <c r="E175" s="882"/>
      <c r="F175" s="882"/>
      <c r="G175" s="882"/>
      <c r="H175" s="51">
        <f t="shared" si="21"/>
        <v>0</v>
      </c>
      <c r="I175" s="882"/>
      <c r="J175" s="882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82"/>
      <c r="C176" s="882"/>
      <c r="D176" s="882"/>
      <c r="E176" s="882"/>
      <c r="F176" s="882"/>
      <c r="G176" s="882"/>
      <c r="H176" s="51">
        <f t="shared" si="21"/>
        <v>0</v>
      </c>
      <c r="I176" s="882"/>
      <c r="J176" s="882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81"/>
      <c r="C177" s="881"/>
      <c r="D177" s="881"/>
      <c r="E177" s="881"/>
      <c r="F177" s="881"/>
      <c r="G177" s="881"/>
      <c r="H177" s="51">
        <f t="shared" si="21"/>
        <v>0</v>
      </c>
      <c r="I177" s="881"/>
      <c r="J177" s="881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81">
        <f>SUM(B179:C186)</f>
        <v>0</v>
      </c>
      <c r="C178" s="881"/>
      <c r="D178" s="881">
        <f>SUM(D179:E186)</f>
        <v>0</v>
      </c>
      <c r="E178" s="881"/>
      <c r="F178" s="881">
        <f>SUM(F179:G186)</f>
        <v>0</v>
      </c>
      <c r="G178" s="881"/>
      <c r="H178" s="51">
        <f t="shared" si="21"/>
        <v>0</v>
      </c>
      <c r="I178" s="881">
        <f>SUM(I179:J186)</f>
        <v>0</v>
      </c>
      <c r="J178" s="881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82"/>
      <c r="C179" s="882"/>
      <c r="D179" s="882"/>
      <c r="E179" s="882"/>
      <c r="F179" s="882"/>
      <c r="G179" s="882"/>
      <c r="H179" s="51">
        <f t="shared" si="21"/>
        <v>0</v>
      </c>
      <c r="I179" s="882"/>
      <c r="J179" s="882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82"/>
      <c r="C180" s="882"/>
      <c r="D180" s="882"/>
      <c r="E180" s="882"/>
      <c r="F180" s="882"/>
      <c r="G180" s="882"/>
      <c r="H180" s="51">
        <f t="shared" si="21"/>
        <v>0</v>
      </c>
      <c r="I180" s="882"/>
      <c r="J180" s="882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82"/>
      <c r="C181" s="882"/>
      <c r="D181" s="882"/>
      <c r="E181" s="882"/>
      <c r="F181" s="882"/>
      <c r="G181" s="882"/>
      <c r="H181" s="51">
        <f t="shared" si="21"/>
        <v>0</v>
      </c>
      <c r="I181" s="882"/>
      <c r="J181" s="882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82"/>
      <c r="C182" s="882"/>
      <c r="D182" s="882"/>
      <c r="E182" s="882"/>
      <c r="F182" s="882"/>
      <c r="G182" s="882"/>
      <c r="H182" s="51">
        <f t="shared" si="21"/>
        <v>0</v>
      </c>
      <c r="I182" s="882"/>
      <c r="J182" s="882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82"/>
      <c r="C183" s="882"/>
      <c r="D183" s="882"/>
      <c r="E183" s="882"/>
      <c r="F183" s="882"/>
      <c r="G183" s="882"/>
      <c r="H183" s="51">
        <f t="shared" si="21"/>
        <v>0</v>
      </c>
      <c r="I183" s="882"/>
      <c r="J183" s="882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82"/>
      <c r="C184" s="882"/>
      <c r="D184" s="882"/>
      <c r="E184" s="882"/>
      <c r="F184" s="882"/>
      <c r="G184" s="882"/>
      <c r="H184" s="51">
        <f t="shared" si="21"/>
        <v>0</v>
      </c>
      <c r="I184" s="882"/>
      <c r="J184" s="882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82"/>
      <c r="C185" s="882"/>
      <c r="D185" s="882"/>
      <c r="E185" s="882"/>
      <c r="F185" s="882"/>
      <c r="G185" s="882"/>
      <c r="H185" s="51">
        <f t="shared" si="21"/>
        <v>0</v>
      </c>
      <c r="I185" s="882"/>
      <c r="J185" s="882"/>
      <c r="K185" s="51">
        <v>0</v>
      </c>
      <c r="L185" s="52">
        <v>0</v>
      </c>
    </row>
    <row r="186" spans="1:12" ht="14.25" customHeight="1">
      <c r="A186" s="67" t="s">
        <v>103</v>
      </c>
      <c r="B186" s="882"/>
      <c r="C186" s="882"/>
      <c r="D186" s="882"/>
      <c r="E186" s="882"/>
      <c r="F186" s="882"/>
      <c r="G186" s="882"/>
      <c r="H186" s="51">
        <f t="shared" si="21"/>
        <v>0</v>
      </c>
      <c r="I186" s="882"/>
      <c r="J186" s="882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81">
        <f>SUM(B188:C191)</f>
        <v>0</v>
      </c>
      <c r="C187" s="881"/>
      <c r="D187" s="881">
        <f>SUM(D188:E191)</f>
        <v>0</v>
      </c>
      <c r="E187" s="881"/>
      <c r="F187" s="881">
        <f>SUM(F188:G191)</f>
        <v>0</v>
      </c>
      <c r="G187" s="881"/>
      <c r="H187" s="51">
        <f t="shared" si="21"/>
        <v>0</v>
      </c>
      <c r="I187" s="881">
        <f>SUM(I188:J191)</f>
        <v>0</v>
      </c>
      <c r="J187" s="881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82"/>
      <c r="C188" s="882"/>
      <c r="D188" s="882"/>
      <c r="E188" s="882"/>
      <c r="F188" s="882"/>
      <c r="G188" s="882"/>
      <c r="H188" s="51">
        <f t="shared" si="21"/>
        <v>0</v>
      </c>
      <c r="I188" s="882"/>
      <c r="J188" s="882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82"/>
      <c r="C189" s="882"/>
      <c r="D189" s="882"/>
      <c r="E189" s="882"/>
      <c r="F189" s="882"/>
      <c r="G189" s="882"/>
      <c r="H189" s="51">
        <f t="shared" si="21"/>
        <v>0</v>
      </c>
      <c r="I189" s="882"/>
      <c r="J189" s="882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906" t="s">
        <v>193</v>
      </c>
      <c r="B192" s="894" t="s">
        <v>123</v>
      </c>
      <c r="C192" s="894" t="s">
        <v>124</v>
      </c>
      <c r="D192" s="898" t="s">
        <v>125</v>
      </c>
      <c r="E192" s="898"/>
      <c r="F192" s="896" t="s">
        <v>35</v>
      </c>
      <c r="G192" s="895" t="s">
        <v>126</v>
      </c>
      <c r="H192" s="895"/>
      <c r="I192" s="896" t="s">
        <v>35</v>
      </c>
      <c r="J192" s="894" t="s">
        <v>127</v>
      </c>
      <c r="K192" s="897" t="s">
        <v>194</v>
      </c>
      <c r="L192" s="897"/>
    </row>
    <row r="193" spans="1:12" ht="26.25" customHeight="1">
      <c r="A193" s="906"/>
      <c r="B193" s="894"/>
      <c r="C193" s="894"/>
      <c r="D193" s="898" t="s">
        <v>36</v>
      </c>
      <c r="E193" s="135" t="s">
        <v>195</v>
      </c>
      <c r="F193" s="896"/>
      <c r="G193" s="898" t="s">
        <v>36</v>
      </c>
      <c r="H193" s="135" t="s">
        <v>195</v>
      </c>
      <c r="I193" s="896"/>
      <c r="J193" s="894"/>
      <c r="K193" s="897"/>
      <c r="L193" s="897"/>
    </row>
    <row r="194" spans="1:12" ht="15.75" customHeight="1">
      <c r="A194" s="906"/>
      <c r="B194" s="136" t="s">
        <v>130</v>
      </c>
      <c r="C194" s="136" t="s">
        <v>131</v>
      </c>
      <c r="D194" s="898"/>
      <c r="E194" s="136" t="s">
        <v>132</v>
      </c>
      <c r="F194" s="137" t="s">
        <v>133</v>
      </c>
      <c r="G194" s="898"/>
      <c r="H194" s="93" t="s">
        <v>134</v>
      </c>
      <c r="I194" s="137" t="s">
        <v>135</v>
      </c>
      <c r="J194" s="93" t="s">
        <v>136</v>
      </c>
      <c r="K194" s="900" t="s">
        <v>137</v>
      </c>
      <c r="L194" s="900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907">
        <f>+K196+K200</f>
        <v>0</v>
      </c>
      <c r="L195" s="907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81">
        <f>SUM(K197:K199)</f>
        <v>0</v>
      </c>
      <c r="L196" s="881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82"/>
      <c r="L197" s="882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82"/>
      <c r="L198" s="882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82"/>
      <c r="L199" s="882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81">
        <f>SUM(K201:K204)</f>
        <v>0</v>
      </c>
      <c r="L200" s="881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82"/>
      <c r="L201" s="882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82"/>
      <c r="L202" s="882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82"/>
      <c r="L203" s="882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908"/>
      <c r="L204" s="908"/>
    </row>
    <row r="65535" ht="12.75" customHeight="1"/>
    <row r="65536" ht="12.75" customHeight="1"/>
  </sheetData>
  <sheetProtection password="EC36" sheet="1"/>
  <mergeCells count="647"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PageLayoutView="0" workbookViewId="0" topLeftCell="C160">
      <selection activeCell="D83" sqref="D83:D84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867" t="str">
        <f>+'Informações Iniciais'!A1</f>
        <v>ESTADO DO MARANHÃO - MUNICÍPIO DE SÃO FRANCISCO DO BREJÃO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22"/>
    </row>
    <row r="4" spans="1:13" ht="12.7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149"/>
    </row>
    <row r="5" spans="1:13" ht="12.75" customHeight="1">
      <c r="A5" s="869" t="s">
        <v>199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150"/>
    </row>
    <row r="6" spans="1:13" ht="12.7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151"/>
    </row>
    <row r="7" spans="1:13" ht="12.7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22"/>
    </row>
    <row r="8" spans="1:13" ht="12.75" customHeight="1">
      <c r="A8" s="909"/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0" t="s">
        <v>201</v>
      </c>
      <c r="B10" s="154" t="s">
        <v>202</v>
      </c>
      <c r="C10" s="154" t="s">
        <v>202</v>
      </c>
      <c r="D10" s="911" t="s">
        <v>125</v>
      </c>
      <c r="E10" s="911"/>
      <c r="F10" s="911"/>
      <c r="G10" s="896" t="s">
        <v>35</v>
      </c>
      <c r="H10" s="912" t="s">
        <v>126</v>
      </c>
      <c r="I10" s="912"/>
      <c r="J10" s="912"/>
      <c r="K10" s="896" t="s">
        <v>35</v>
      </c>
      <c r="L10" s="913" t="s">
        <v>203</v>
      </c>
      <c r="M10" s="147"/>
    </row>
    <row r="11" spans="1:13" ht="12.75" customHeight="1">
      <c r="A11" s="910"/>
      <c r="B11" s="156" t="s">
        <v>204</v>
      </c>
      <c r="C11" s="156" t="s">
        <v>205</v>
      </c>
      <c r="D11" s="911" t="s">
        <v>36</v>
      </c>
      <c r="E11" s="154" t="s">
        <v>38</v>
      </c>
      <c r="F11" s="154" t="s">
        <v>37</v>
      </c>
      <c r="G11" s="896"/>
      <c r="H11" s="911" t="s">
        <v>36</v>
      </c>
      <c r="I11" s="154" t="s">
        <v>38</v>
      </c>
      <c r="J11" s="154" t="s">
        <v>37</v>
      </c>
      <c r="K11" s="896"/>
      <c r="L11" s="913"/>
      <c r="M11" s="147"/>
    </row>
    <row r="12" spans="1:12" s="160" customFormat="1" ht="24" customHeight="1">
      <c r="A12" s="910"/>
      <c r="B12" s="157"/>
      <c r="C12" s="158" t="s">
        <v>39</v>
      </c>
      <c r="D12" s="911"/>
      <c r="E12" s="158" t="s">
        <v>40</v>
      </c>
      <c r="F12" s="158" t="s">
        <v>206</v>
      </c>
      <c r="G12" s="159" t="s">
        <v>207</v>
      </c>
      <c r="H12" s="911"/>
      <c r="I12" s="158" t="s">
        <v>130</v>
      </c>
      <c r="J12" s="158" t="s">
        <v>208</v>
      </c>
      <c r="K12" s="159" t="s">
        <v>209</v>
      </c>
      <c r="L12" s="913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35086000</v>
      </c>
      <c r="C13" s="162">
        <f>+C14+C18+C22+C26+C39+C44+C49+C53+C59+C65+C73+C79+C89+C93+C98+C103+C107+C111+C118+C123+C130+C133+C140+C147+C151+C157+C164+C169+C178+C179</f>
        <v>37146682.760000005</v>
      </c>
      <c r="D13" s="162">
        <f>+D14+D18+D22+D26+D39+D44+D49+D53+D59+D65+D73+D79+D89+D93+D98+D103+D107+D111+D118+D123+D130+D133+D140+D147+D151+D157+D164+D169+D178+D179</f>
        <v>6637777.5200000005</v>
      </c>
      <c r="E13" s="162">
        <f>+E14+E18+E22+E26+E39+E44+E49+E53+E59+E65+E73+E79+E89+E93+E98+E103+E107+E111+E118+E123+E130+E133+E140+E147+E151+E157+E164+E169+E178+E179</f>
        <v>18513156.590000007</v>
      </c>
      <c r="F13" s="162">
        <f aca="true" t="shared" si="0" ref="F13:F86">IF(E$181="",0,IF(E$181=0,0,E13/E$181))</f>
        <v>1</v>
      </c>
      <c r="G13" s="162">
        <f aca="true" t="shared" si="1" ref="G13:G180">+C13-E13</f>
        <v>18633526.169999998</v>
      </c>
      <c r="H13" s="162">
        <f>+H14+H18+H22+H26+H39+H44+H49+H53+H59+H65+H73+H79+H89+H93+H98+H103+H107+H111+H118+H123+H130+H133+H140+H147+H151+H157+H164+H169+H178+H179</f>
        <v>4757037.3100000005</v>
      </c>
      <c r="I13" s="162">
        <f>+I14+I18+I22+I26+I39+I44+I49+I53+I59+I65+I73+I79+I89+I93+I98+I103+I107+I111+I118+I123+I130+I133+I140+I147+I151+I157+I164+I169+I178+I179</f>
        <v>10592824.399999999</v>
      </c>
      <c r="J13" s="162">
        <f>IF(I181="",0,IF(I181=0,0,I13/I$181))</f>
        <v>1</v>
      </c>
      <c r="K13" s="162">
        <f aca="true" t="shared" si="2" ref="K13:K180">+C13-I13</f>
        <v>26553858.360000007</v>
      </c>
      <c r="L13" s="162">
        <f>+L14+L18+L22+L26+L39+L44+L49+L53+L59+L65+L73+L79+L89+L93+L98+L103+L107+L111+L118+L123+L130+L133+L140+L147+L151+L157+L164+L169+L178+L179</f>
        <v>7920332.1899999995</v>
      </c>
    </row>
    <row r="14" spans="1:12" s="160" customFormat="1" ht="12.75" customHeight="1">
      <c r="A14" s="163" t="s">
        <v>211</v>
      </c>
      <c r="B14" s="49">
        <f>SUM(B15:B17)</f>
        <v>1040000</v>
      </c>
      <c r="C14" s="49">
        <f>SUM(C15:C17)</f>
        <v>1040000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1040000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1040000</v>
      </c>
      <c r="L14" s="49">
        <f>SUM(L15:L17)</f>
        <v>0</v>
      </c>
    </row>
    <row r="15" spans="1:13" ht="12.75" customHeight="1">
      <c r="A15" s="164" t="s">
        <v>212</v>
      </c>
      <c r="B15" s="165">
        <v>1040000</v>
      </c>
      <c r="C15" s="98">
        <v>1040000</v>
      </c>
      <c r="D15" s="98">
        <v>0</v>
      </c>
      <c r="E15" s="98">
        <v>0</v>
      </c>
      <c r="F15" s="52">
        <f t="shared" si="0"/>
        <v>0</v>
      </c>
      <c r="G15" s="52">
        <f t="shared" si="1"/>
        <v>1040000</v>
      </c>
      <c r="H15" s="98">
        <v>0</v>
      </c>
      <c r="I15" s="98">
        <v>0</v>
      </c>
      <c r="J15" s="166">
        <f t="shared" si="3"/>
        <v>0</v>
      </c>
      <c r="K15" s="166">
        <f t="shared" si="2"/>
        <v>1040000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100000</v>
      </c>
      <c r="C18" s="49">
        <f>SUM(C19:C21)</f>
        <v>100000</v>
      </c>
      <c r="D18" s="49">
        <f>SUM(D19:D21)</f>
        <v>14053.12</v>
      </c>
      <c r="E18" s="49">
        <f>SUM(E19:E21)</f>
        <v>23916.76</v>
      </c>
      <c r="F18" s="49">
        <f t="shared" si="0"/>
        <v>0.001291879096021841</v>
      </c>
      <c r="G18" s="49">
        <f t="shared" si="1"/>
        <v>76083.24</v>
      </c>
      <c r="H18" s="49">
        <f>SUM(H19:H21)</f>
        <v>14053.12</v>
      </c>
      <c r="I18" s="49">
        <f>SUM(I19:I21)</f>
        <v>23916.76</v>
      </c>
      <c r="J18" s="49">
        <f t="shared" si="3"/>
        <v>0</v>
      </c>
      <c r="K18" s="49">
        <f t="shared" si="2"/>
        <v>76083.24</v>
      </c>
      <c r="L18" s="49">
        <f>SUM(L19:L21)</f>
        <v>0</v>
      </c>
      <c r="M18" s="134"/>
      <c r="O18" s="914"/>
    </row>
    <row r="19" spans="1:15" ht="12.75" customHeight="1">
      <c r="A19" s="164" t="s">
        <v>216</v>
      </c>
      <c r="B19" s="98">
        <v>100000</v>
      </c>
      <c r="C19" s="98">
        <v>100000</v>
      </c>
      <c r="D19" s="98">
        <v>14053.12</v>
      </c>
      <c r="E19" s="98">
        <v>23916.76</v>
      </c>
      <c r="F19" s="52">
        <f t="shared" si="0"/>
        <v>0.001291879096021841</v>
      </c>
      <c r="G19" s="52">
        <f t="shared" si="1"/>
        <v>76083.24</v>
      </c>
      <c r="H19" s="98">
        <v>14053.12</v>
      </c>
      <c r="I19" s="98">
        <v>23916.76</v>
      </c>
      <c r="J19" s="52">
        <f t="shared" si="3"/>
        <v>0</v>
      </c>
      <c r="K19" s="166">
        <f t="shared" si="2"/>
        <v>76083.24</v>
      </c>
      <c r="L19" s="98"/>
      <c r="M19" s="134"/>
      <c r="O19" s="914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14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350000</v>
      </c>
      <c r="C22" s="49">
        <f>SUM(C23:C25)</f>
        <v>352174.56</v>
      </c>
      <c r="D22" s="49">
        <f>SUM(D23:D25)</f>
        <v>34878.72</v>
      </c>
      <c r="E22" s="49">
        <f>SUM(E23:E25)</f>
        <v>74931.09</v>
      </c>
      <c r="F22" s="49">
        <f t="shared" si="0"/>
        <v>0.004047450775654027</v>
      </c>
      <c r="G22" s="49">
        <f t="shared" si="1"/>
        <v>277243.47</v>
      </c>
      <c r="H22" s="49">
        <f>SUM(H23:H25)</f>
        <v>34878.72</v>
      </c>
      <c r="I22" s="49">
        <f>SUM(I23:I25)</f>
        <v>74931.09</v>
      </c>
      <c r="J22" s="49">
        <f t="shared" si="3"/>
        <v>0</v>
      </c>
      <c r="K22" s="49">
        <f t="shared" si="2"/>
        <v>277243.47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350000</v>
      </c>
      <c r="C24" s="98">
        <v>352174.56</v>
      </c>
      <c r="D24" s="98">
        <v>34878.72</v>
      </c>
      <c r="E24" s="98">
        <v>74931.09</v>
      </c>
      <c r="F24" s="52">
        <f t="shared" si="0"/>
        <v>0.004047450775654027</v>
      </c>
      <c r="G24" s="52">
        <f t="shared" si="1"/>
        <v>277243.47</v>
      </c>
      <c r="H24" s="98">
        <v>34878.72</v>
      </c>
      <c r="I24" s="98">
        <v>74931.09</v>
      </c>
      <c r="J24" s="52">
        <f t="shared" si="3"/>
        <v>0</v>
      </c>
      <c r="K24" s="166">
        <f t="shared" si="2"/>
        <v>277243.47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3003000</v>
      </c>
      <c r="C26" s="49">
        <f>SUM(C27:C38)</f>
        <v>4444684.83</v>
      </c>
      <c r="D26" s="49">
        <f>SUM(D27:D38)</f>
        <v>733835.6900000002</v>
      </c>
      <c r="E26" s="49">
        <f>SUM(E27:E38)</f>
        <v>3063069.74</v>
      </c>
      <c r="F26" s="49">
        <f t="shared" si="0"/>
        <v>0.16545367210119832</v>
      </c>
      <c r="G26" s="49">
        <f t="shared" si="1"/>
        <v>1381615.0899999999</v>
      </c>
      <c r="H26" s="49">
        <f>SUM(H27:H38)</f>
        <v>799195.01</v>
      </c>
      <c r="I26" s="49">
        <f>SUM(I27:I38)</f>
        <v>1774307.0099999998</v>
      </c>
      <c r="J26" s="49">
        <f t="shared" si="3"/>
        <v>0</v>
      </c>
      <c r="K26" s="49">
        <f t="shared" si="2"/>
        <v>2670377.8200000003</v>
      </c>
      <c r="L26" s="49">
        <f>SUM(L27:L38)</f>
        <v>1288762.73</v>
      </c>
      <c r="M26" s="134"/>
    </row>
    <row r="27" spans="1:13" ht="12.75" customHeight="1">
      <c r="A27" s="164" t="s">
        <v>222</v>
      </c>
      <c r="B27" s="98">
        <v>520000</v>
      </c>
      <c r="C27" s="98">
        <v>370000</v>
      </c>
      <c r="D27" s="98">
        <v>21830.46</v>
      </c>
      <c r="E27" s="98">
        <v>23330.46</v>
      </c>
      <c r="F27" s="52">
        <f t="shared" si="0"/>
        <v>0.0012602097263414327</v>
      </c>
      <c r="G27" s="52">
        <f t="shared" si="1"/>
        <v>346669.54</v>
      </c>
      <c r="H27" s="98">
        <v>21830.46</v>
      </c>
      <c r="I27" s="98">
        <v>23330.46</v>
      </c>
      <c r="J27" s="52">
        <f t="shared" si="3"/>
        <v>0</v>
      </c>
      <c r="K27" s="166">
        <f t="shared" si="2"/>
        <v>346669.54</v>
      </c>
      <c r="L27" s="98"/>
      <c r="M27" s="134"/>
    </row>
    <row r="28" spans="1:13" ht="12.75" customHeight="1">
      <c r="A28" s="164" t="s">
        <v>223</v>
      </c>
      <c r="B28" s="98">
        <v>1180000</v>
      </c>
      <c r="C28" s="98">
        <v>2212247.48</v>
      </c>
      <c r="D28" s="98">
        <v>485655.71</v>
      </c>
      <c r="E28" s="98">
        <v>1899176.54</v>
      </c>
      <c r="F28" s="52">
        <f t="shared" si="0"/>
        <v>0.10258523611396728</v>
      </c>
      <c r="G28" s="52">
        <f t="shared" si="1"/>
        <v>313070.93999999994</v>
      </c>
      <c r="H28" s="98">
        <v>539289.44</v>
      </c>
      <c r="I28" s="98">
        <v>1150338.82</v>
      </c>
      <c r="J28" s="52">
        <f t="shared" si="3"/>
        <v>0</v>
      </c>
      <c r="K28" s="166">
        <f t="shared" si="2"/>
        <v>1061908.66</v>
      </c>
      <c r="L28" s="98">
        <v>748837.72</v>
      </c>
      <c r="M28" s="134"/>
    </row>
    <row r="29" spans="1:13" ht="12.75" customHeight="1">
      <c r="A29" s="164" t="s">
        <v>224</v>
      </c>
      <c r="B29" s="98">
        <v>180000</v>
      </c>
      <c r="C29" s="98">
        <v>180000</v>
      </c>
      <c r="D29" s="98"/>
      <c r="E29" s="98"/>
      <c r="F29" s="52">
        <f t="shared" si="0"/>
        <v>0</v>
      </c>
      <c r="G29" s="52">
        <f t="shared" si="1"/>
        <v>180000</v>
      </c>
      <c r="H29" s="98"/>
      <c r="I29" s="98"/>
      <c r="J29" s="52">
        <f t="shared" si="3"/>
        <v>0</v>
      </c>
      <c r="K29" s="166">
        <f t="shared" si="2"/>
        <v>180000</v>
      </c>
      <c r="L29" s="98"/>
      <c r="M29" s="134"/>
    </row>
    <row r="30" spans="1:13" ht="12.75" customHeight="1">
      <c r="A30" s="164" t="s">
        <v>225</v>
      </c>
      <c r="B30" s="98">
        <v>200000</v>
      </c>
      <c r="C30" s="98">
        <v>200000</v>
      </c>
      <c r="D30" s="98">
        <v>69855.3</v>
      </c>
      <c r="E30" s="98">
        <v>169855.3</v>
      </c>
      <c r="F30" s="52">
        <f t="shared" si="0"/>
        <v>0.009174842721945556</v>
      </c>
      <c r="G30" s="52">
        <f t="shared" si="1"/>
        <v>30144.70000000001</v>
      </c>
      <c r="H30" s="98">
        <v>69855.3</v>
      </c>
      <c r="I30" s="98">
        <v>169855.3</v>
      </c>
      <c r="J30" s="52">
        <f t="shared" si="3"/>
        <v>0</v>
      </c>
      <c r="K30" s="166">
        <f t="shared" si="2"/>
        <v>30144.70000000001</v>
      </c>
      <c r="L30" s="98"/>
      <c r="M30" s="134"/>
    </row>
    <row r="31" spans="1:13" ht="12.75" customHeight="1">
      <c r="A31" s="164" t="s">
        <v>226</v>
      </c>
      <c r="B31" s="98">
        <v>160000</v>
      </c>
      <c r="C31" s="98">
        <v>177218.71</v>
      </c>
      <c r="D31" s="98">
        <v>28635.18</v>
      </c>
      <c r="E31" s="98">
        <v>107211.66</v>
      </c>
      <c r="F31" s="52">
        <f t="shared" si="0"/>
        <v>0.005791106420928294</v>
      </c>
      <c r="G31" s="52">
        <f t="shared" si="1"/>
        <v>70007.04999999999</v>
      </c>
      <c r="H31" s="98">
        <v>28635.18</v>
      </c>
      <c r="I31" s="98">
        <v>107211.66</v>
      </c>
      <c r="J31" s="52">
        <f t="shared" si="3"/>
        <v>0</v>
      </c>
      <c r="K31" s="166">
        <f t="shared" si="2"/>
        <v>70007.04999999999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200000</v>
      </c>
      <c r="C34" s="98">
        <v>200526.56</v>
      </c>
      <c r="D34" s="98">
        <v>3792.38</v>
      </c>
      <c r="E34" s="98">
        <v>10432.64</v>
      </c>
      <c r="F34" s="52">
        <f t="shared" si="0"/>
        <v>0.0005635257255715782</v>
      </c>
      <c r="G34" s="52">
        <f t="shared" si="1"/>
        <v>190093.91999999998</v>
      </c>
      <c r="H34" s="98">
        <v>3792.38</v>
      </c>
      <c r="I34" s="98">
        <v>10432.64</v>
      </c>
      <c r="J34" s="52">
        <f t="shared" si="3"/>
        <v>0</v>
      </c>
      <c r="K34" s="166">
        <f t="shared" si="2"/>
        <v>190093.91999999998</v>
      </c>
      <c r="L34" s="98"/>
      <c r="M34" s="134"/>
    </row>
    <row r="35" spans="1:13" ht="12.75" customHeight="1">
      <c r="A35" s="164" t="s">
        <v>230</v>
      </c>
      <c r="B35" s="98">
        <v>300000</v>
      </c>
      <c r="C35" s="98">
        <v>832831.88</v>
      </c>
      <c r="D35" s="98">
        <v>105134.66</v>
      </c>
      <c r="E35" s="98">
        <v>800848.94</v>
      </c>
      <c r="F35" s="52">
        <f t="shared" si="0"/>
        <v>0.043258367966950775</v>
      </c>
      <c r="G35" s="52">
        <f t="shared" si="1"/>
        <v>31982.94000000006</v>
      </c>
      <c r="H35" s="98">
        <v>116860.25</v>
      </c>
      <c r="I35" s="98">
        <v>260923.93</v>
      </c>
      <c r="J35" s="52">
        <f t="shared" si="3"/>
        <v>0</v>
      </c>
      <c r="K35" s="166">
        <f t="shared" si="2"/>
        <v>571907.95</v>
      </c>
      <c r="L35" s="98">
        <v>539925.01</v>
      </c>
      <c r="M35" s="134"/>
    </row>
    <row r="36" spans="1:13" ht="12.75" customHeight="1">
      <c r="A36" s="164" t="s">
        <v>231</v>
      </c>
      <c r="B36" s="98">
        <v>13000</v>
      </c>
      <c r="C36" s="98">
        <v>13000</v>
      </c>
      <c r="D36" s="98">
        <v>2862</v>
      </c>
      <c r="E36" s="98">
        <v>5724</v>
      </c>
      <c r="F36" s="52">
        <f t="shared" si="0"/>
        <v>0.00030918552285631577</v>
      </c>
      <c r="G36" s="52">
        <f t="shared" si="1"/>
        <v>7276</v>
      </c>
      <c r="H36" s="98">
        <v>2862</v>
      </c>
      <c r="I36" s="98">
        <v>5724</v>
      </c>
      <c r="J36" s="52">
        <f t="shared" si="3"/>
        <v>0</v>
      </c>
      <c r="K36" s="166">
        <f t="shared" si="2"/>
        <v>7276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250000</v>
      </c>
      <c r="C38" s="98">
        <v>258860.2</v>
      </c>
      <c r="D38" s="98">
        <v>16070</v>
      </c>
      <c r="E38" s="98">
        <v>46490.2</v>
      </c>
      <c r="F38" s="52">
        <f t="shared" si="0"/>
        <v>0.0025111979026370876</v>
      </c>
      <c r="G38" s="52">
        <f t="shared" si="1"/>
        <v>212370</v>
      </c>
      <c r="H38" s="98">
        <v>16070</v>
      </c>
      <c r="I38" s="98">
        <v>46490.2</v>
      </c>
      <c r="J38" s="52">
        <f t="shared" si="3"/>
        <v>0</v>
      </c>
      <c r="K38" s="166">
        <f t="shared" si="2"/>
        <v>212370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80000</v>
      </c>
      <c r="C44" s="49">
        <f>SUM(C45:C48)</f>
        <v>80000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20000</v>
      </c>
      <c r="C45" s="98">
        <v>20000</v>
      </c>
      <c r="D45" s="98"/>
      <c r="E45" s="98"/>
      <c r="F45" s="52">
        <f t="shared" si="0"/>
        <v>0</v>
      </c>
      <c r="G45" s="52">
        <f t="shared" si="1"/>
        <v>20000</v>
      </c>
      <c r="H45" s="98"/>
      <c r="I45" s="98"/>
      <c r="J45" s="52">
        <f t="shared" si="3"/>
        <v>0</v>
      </c>
      <c r="K45" s="166">
        <f t="shared" si="2"/>
        <v>20000</v>
      </c>
      <c r="L45" s="98"/>
      <c r="M45" s="134"/>
    </row>
    <row r="46" spans="1:13" ht="12.75" customHeight="1">
      <c r="A46" s="164" t="s">
        <v>239</v>
      </c>
      <c r="B46" s="98">
        <v>60000</v>
      </c>
      <c r="C46" s="98">
        <v>60000</v>
      </c>
      <c r="D46" s="98"/>
      <c r="E46" s="98"/>
      <c r="F46" s="52">
        <f t="shared" si="0"/>
        <v>0</v>
      </c>
      <c r="G46" s="52">
        <f t="shared" si="1"/>
        <v>60000</v>
      </c>
      <c r="H46" s="98"/>
      <c r="I46" s="98"/>
      <c r="J46" s="52">
        <f t="shared" si="3"/>
        <v>0</v>
      </c>
      <c r="K46" s="166">
        <f t="shared" si="2"/>
        <v>60000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2863000</v>
      </c>
      <c r="C53" s="49">
        <f>SUM(C54:C58)</f>
        <v>2428504.87</v>
      </c>
      <c r="D53" s="49">
        <f>SUM(D54:D58)</f>
        <v>119565.53</v>
      </c>
      <c r="E53" s="49">
        <f>SUM(E54:E58)</f>
        <v>291514.65</v>
      </c>
      <c r="F53" s="49">
        <f t="shared" si="0"/>
        <v>0.015746350363474125</v>
      </c>
      <c r="G53" s="49">
        <f t="shared" si="1"/>
        <v>2136990.22</v>
      </c>
      <c r="H53" s="49">
        <f>SUM(H54:H58)</f>
        <v>125965.53</v>
      </c>
      <c r="I53" s="49">
        <f>SUM(I54:I58)</f>
        <v>272914.65</v>
      </c>
      <c r="J53" s="49">
        <f t="shared" si="3"/>
        <v>0</v>
      </c>
      <c r="K53" s="49">
        <f t="shared" si="2"/>
        <v>2155590.22</v>
      </c>
      <c r="L53" s="49">
        <f>SUM(L54:L58)</f>
        <v>18600</v>
      </c>
      <c r="M53" s="134"/>
    </row>
    <row r="54" spans="1:13" ht="12.75" customHeight="1">
      <c r="A54" s="164" t="s">
        <v>245</v>
      </c>
      <c r="B54" s="98">
        <v>110000</v>
      </c>
      <c r="C54" s="98">
        <v>110000</v>
      </c>
      <c r="D54" s="98"/>
      <c r="E54" s="98"/>
      <c r="F54" s="52">
        <f t="shared" si="0"/>
        <v>0</v>
      </c>
      <c r="G54" s="52">
        <f t="shared" si="1"/>
        <v>110000</v>
      </c>
      <c r="H54" s="98"/>
      <c r="I54" s="98"/>
      <c r="J54" s="52">
        <f t="shared" si="3"/>
        <v>0</v>
      </c>
      <c r="K54" s="166">
        <f t="shared" si="2"/>
        <v>110000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633000</v>
      </c>
      <c r="C56" s="98">
        <v>655841.57</v>
      </c>
      <c r="D56" s="98">
        <v>45679.9</v>
      </c>
      <c r="E56" s="98">
        <v>110998.7</v>
      </c>
      <c r="F56" s="52">
        <f t="shared" si="0"/>
        <v>0.0059956658099006525</v>
      </c>
      <c r="G56" s="52">
        <f t="shared" si="1"/>
        <v>544842.87</v>
      </c>
      <c r="H56" s="98">
        <v>47679.9</v>
      </c>
      <c r="I56" s="98">
        <v>105998.7</v>
      </c>
      <c r="J56" s="52">
        <f t="shared" si="3"/>
        <v>0</v>
      </c>
      <c r="K56" s="166">
        <f t="shared" si="2"/>
        <v>549842.87</v>
      </c>
      <c r="L56" s="98">
        <v>5000</v>
      </c>
      <c r="M56" s="134"/>
    </row>
    <row r="57" spans="1:13" ht="12.75" customHeight="1">
      <c r="A57" s="164" t="s">
        <v>248</v>
      </c>
      <c r="B57" s="98">
        <v>2040000</v>
      </c>
      <c r="C57" s="98">
        <v>1582663.3</v>
      </c>
      <c r="D57" s="98">
        <v>73885.63</v>
      </c>
      <c r="E57" s="98">
        <v>180515.95</v>
      </c>
      <c r="F57" s="52">
        <f t="shared" si="0"/>
        <v>0.009750684553573473</v>
      </c>
      <c r="G57" s="52">
        <f t="shared" si="1"/>
        <v>1402147.35</v>
      </c>
      <c r="H57" s="98">
        <v>78285.63</v>
      </c>
      <c r="I57" s="98">
        <v>166915.95</v>
      </c>
      <c r="J57" s="52">
        <f t="shared" si="3"/>
        <v>0</v>
      </c>
      <c r="K57" s="166">
        <f t="shared" si="2"/>
        <v>1415747.35</v>
      </c>
      <c r="L57" s="98">
        <v>13600</v>
      </c>
      <c r="M57" s="134"/>
    </row>
    <row r="58" spans="1:13" ht="12.75" customHeight="1">
      <c r="A58" s="164" t="s">
        <v>214</v>
      </c>
      <c r="B58" s="98">
        <v>80000</v>
      </c>
      <c r="C58" s="98">
        <v>80000</v>
      </c>
      <c r="D58" s="98"/>
      <c r="E58" s="98"/>
      <c r="F58" s="52">
        <f t="shared" si="0"/>
        <v>0</v>
      </c>
      <c r="G58" s="52">
        <f t="shared" si="1"/>
        <v>80000</v>
      </c>
      <c r="H58" s="98"/>
      <c r="I58" s="98"/>
      <c r="J58" s="52">
        <f t="shared" si="3"/>
        <v>0</v>
      </c>
      <c r="K58" s="166">
        <f t="shared" si="2"/>
        <v>80000</v>
      </c>
      <c r="L58" s="98"/>
      <c r="M58" s="134"/>
    </row>
    <row r="59" spans="1:13" ht="12.75" customHeight="1">
      <c r="A59" s="163" t="s">
        <v>249</v>
      </c>
      <c r="B59" s="49">
        <f>SUM(B60:B64)</f>
        <v>500000</v>
      </c>
      <c r="C59" s="49">
        <f>SUM(C60:C64)</f>
        <v>500000</v>
      </c>
      <c r="D59" s="49">
        <f>SUM(D60:D64)</f>
        <v>28579.09</v>
      </c>
      <c r="E59" s="49">
        <f>SUM(E60:E64)</f>
        <v>101680.41</v>
      </c>
      <c r="F59" s="49">
        <f t="shared" si="0"/>
        <v>0.0054923324126650176</v>
      </c>
      <c r="G59" s="49">
        <f t="shared" si="1"/>
        <v>398319.58999999997</v>
      </c>
      <c r="H59" s="49">
        <f>SUM(H60:H64)</f>
        <v>28579.09</v>
      </c>
      <c r="I59" s="49">
        <f>SUM(I60:I64)</f>
        <v>101680.41</v>
      </c>
      <c r="J59" s="49">
        <f t="shared" si="3"/>
        <v>0</v>
      </c>
      <c r="K59" s="49">
        <f t="shared" si="2"/>
        <v>398319.58999999997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500000</v>
      </c>
      <c r="C64" s="98">
        <v>500000</v>
      </c>
      <c r="D64" s="98">
        <v>28579.09</v>
      </c>
      <c r="E64" s="98">
        <v>101680.41</v>
      </c>
      <c r="F64" s="52">
        <f t="shared" si="0"/>
        <v>0.0054923324126650176</v>
      </c>
      <c r="G64" s="52">
        <f t="shared" si="1"/>
        <v>398319.58999999997</v>
      </c>
      <c r="H64" s="98">
        <v>28579.09</v>
      </c>
      <c r="I64" s="98">
        <v>101680.41</v>
      </c>
      <c r="J64" s="52">
        <f t="shared" si="3"/>
        <v>0</v>
      </c>
      <c r="K64" s="166">
        <f t="shared" si="2"/>
        <v>398319.58999999997</v>
      </c>
      <c r="L64" s="98"/>
      <c r="M64" s="134"/>
    </row>
    <row r="65" spans="1:13" ht="12.75" customHeight="1">
      <c r="A65" s="163" t="s">
        <v>254</v>
      </c>
      <c r="B65" s="49">
        <f>SUM(B66:B72)</f>
        <v>4788000</v>
      </c>
      <c r="C65" s="49">
        <f>SUM(C66:C72)</f>
        <v>6523682.760000001</v>
      </c>
      <c r="D65" s="49">
        <f>SUM(D66:D72)</f>
        <v>2445664.56</v>
      </c>
      <c r="E65" s="49">
        <f>SUM(E66:E72)</f>
        <v>4897519.970000001</v>
      </c>
      <c r="F65" s="49">
        <f t="shared" si="0"/>
        <v>0.2645426751613728</v>
      </c>
      <c r="G65" s="49">
        <f t="shared" si="1"/>
        <v>1626162.79</v>
      </c>
      <c r="H65" s="49">
        <f>SUM(H66:H72)</f>
        <v>1102058.68</v>
      </c>
      <c r="I65" s="49">
        <f>SUM(I66:I72)</f>
        <v>2239644.34</v>
      </c>
      <c r="J65" s="49">
        <f t="shared" si="3"/>
        <v>0</v>
      </c>
      <c r="K65" s="49">
        <f t="shared" si="2"/>
        <v>4284038.420000001</v>
      </c>
      <c r="L65" s="49">
        <f>SUM(L66:L72)</f>
        <v>2657875.63</v>
      </c>
      <c r="M65" s="134"/>
    </row>
    <row r="66" spans="1:13" ht="12.75" customHeight="1">
      <c r="A66" s="164" t="s">
        <v>255</v>
      </c>
      <c r="B66" s="98">
        <v>1858000</v>
      </c>
      <c r="C66" s="98">
        <v>2091348.13</v>
      </c>
      <c r="D66" s="98">
        <v>1063275.12</v>
      </c>
      <c r="E66" s="98">
        <v>1304868.24</v>
      </c>
      <c r="F66" s="52">
        <f t="shared" si="0"/>
        <v>0.07048329298445152</v>
      </c>
      <c r="G66" s="52">
        <f t="shared" si="1"/>
        <v>786479.8899999999</v>
      </c>
      <c r="H66" s="98">
        <v>286328.36</v>
      </c>
      <c r="I66" s="98">
        <v>527921.48</v>
      </c>
      <c r="J66" s="52">
        <f t="shared" si="3"/>
        <v>0</v>
      </c>
      <c r="K66" s="166">
        <f t="shared" si="2"/>
        <v>1563426.65</v>
      </c>
      <c r="L66" s="98">
        <v>776946.76</v>
      </c>
      <c r="M66" s="134"/>
    </row>
    <row r="67" spans="1:13" ht="12.75" customHeight="1">
      <c r="A67" s="164" t="s">
        <v>256</v>
      </c>
      <c r="B67" s="98">
        <v>1960000</v>
      </c>
      <c r="C67" s="98">
        <v>2164574.52</v>
      </c>
      <c r="D67" s="98">
        <v>961679.28</v>
      </c>
      <c r="E67" s="98">
        <v>1700960.61</v>
      </c>
      <c r="F67" s="52">
        <f t="shared" si="0"/>
        <v>0.09187847581426412</v>
      </c>
      <c r="G67" s="52">
        <f t="shared" si="1"/>
        <v>463613.9099999999</v>
      </c>
      <c r="H67" s="98">
        <v>490717.82</v>
      </c>
      <c r="I67" s="98">
        <v>934987.75</v>
      </c>
      <c r="J67" s="52">
        <f t="shared" si="3"/>
        <v>0</v>
      </c>
      <c r="K67" s="166">
        <f t="shared" si="2"/>
        <v>1229586.77</v>
      </c>
      <c r="L67" s="98">
        <v>765972.86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220000</v>
      </c>
      <c r="C70" s="98">
        <v>233848.61</v>
      </c>
      <c r="D70" s="98">
        <v>36113.81</v>
      </c>
      <c r="E70" s="98">
        <v>101288.62</v>
      </c>
      <c r="F70" s="52">
        <f t="shared" si="0"/>
        <v>0.005471169625103893</v>
      </c>
      <c r="G70" s="52">
        <f t="shared" si="1"/>
        <v>132559.99</v>
      </c>
      <c r="H70" s="98">
        <v>36113.81</v>
      </c>
      <c r="I70" s="98">
        <v>101288.62</v>
      </c>
      <c r="J70" s="52">
        <f t="shared" si="3"/>
        <v>0</v>
      </c>
      <c r="K70" s="166">
        <f t="shared" si="2"/>
        <v>132559.99</v>
      </c>
      <c r="L70" s="98"/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750000</v>
      </c>
      <c r="C72" s="98">
        <v>2033911.5</v>
      </c>
      <c r="D72" s="98">
        <v>384596.35</v>
      </c>
      <c r="E72" s="98">
        <v>1790402.5</v>
      </c>
      <c r="F72" s="52">
        <f t="shared" si="0"/>
        <v>0.09670973673755326</v>
      </c>
      <c r="G72" s="52">
        <f t="shared" si="1"/>
        <v>243509</v>
      </c>
      <c r="H72" s="98">
        <v>288898.69</v>
      </c>
      <c r="I72" s="98">
        <v>675446.49</v>
      </c>
      <c r="J72" s="52">
        <f t="shared" si="3"/>
        <v>0</v>
      </c>
      <c r="K72" s="166">
        <f t="shared" si="2"/>
        <v>1358465.01</v>
      </c>
      <c r="L72" s="98">
        <v>1114956.01</v>
      </c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11312000</v>
      </c>
      <c r="C79" s="49">
        <f>SUM(C80:C88)</f>
        <v>11422690.76</v>
      </c>
      <c r="D79" s="49">
        <f>SUM(D80:D88)</f>
        <v>2010649.99</v>
      </c>
      <c r="E79" s="49">
        <f>SUM(E80:E88)</f>
        <v>6498500.3</v>
      </c>
      <c r="F79" s="49">
        <f t="shared" si="0"/>
        <v>0.3510206521728555</v>
      </c>
      <c r="G79" s="49">
        <f t="shared" si="1"/>
        <v>4924190.46</v>
      </c>
      <c r="H79" s="49">
        <f>SUM(H80:H88)</f>
        <v>1924237.1</v>
      </c>
      <c r="I79" s="49">
        <f>SUM(I80:I88)</f>
        <v>4631662.2299999995</v>
      </c>
      <c r="J79" s="49">
        <f t="shared" si="3"/>
        <v>0</v>
      </c>
      <c r="K79" s="49">
        <f t="shared" si="2"/>
        <v>6791028.53</v>
      </c>
      <c r="L79" s="49">
        <f>SUM(L80:L88)</f>
        <v>1866838.07</v>
      </c>
      <c r="M79" s="134"/>
    </row>
    <row r="80" spans="1:13" ht="12.75" customHeight="1">
      <c r="A80" s="164" t="s">
        <v>267</v>
      </c>
      <c r="B80" s="98">
        <v>8887000</v>
      </c>
      <c r="C80" s="98">
        <v>8981654.75</v>
      </c>
      <c r="D80" s="98">
        <v>1811124.33</v>
      </c>
      <c r="E80" s="98">
        <v>5556744.74</v>
      </c>
      <c r="F80" s="52">
        <f t="shared" si="0"/>
        <v>0.300151122958767</v>
      </c>
      <c r="G80" s="52">
        <f t="shared" si="1"/>
        <v>3424910.01</v>
      </c>
      <c r="H80" s="98">
        <v>1714742.71</v>
      </c>
      <c r="I80" s="98">
        <v>4149003.92</v>
      </c>
      <c r="J80" s="52">
        <f t="shared" si="3"/>
        <v>0</v>
      </c>
      <c r="K80" s="166">
        <f t="shared" si="2"/>
        <v>4832650.83</v>
      </c>
      <c r="L80" s="98">
        <v>1407740.82</v>
      </c>
      <c r="M80" s="134"/>
    </row>
    <row r="81" spans="1:13" ht="12.75" customHeight="1">
      <c r="A81" s="164" t="s">
        <v>268</v>
      </c>
      <c r="B81" s="98">
        <v>120000</v>
      </c>
      <c r="C81" s="98">
        <v>70000</v>
      </c>
      <c r="D81" s="98"/>
      <c r="E81" s="98"/>
      <c r="F81" s="52">
        <f t="shared" si="0"/>
        <v>0</v>
      </c>
      <c r="G81" s="52">
        <f t="shared" si="1"/>
        <v>70000</v>
      </c>
      <c r="H81" s="98"/>
      <c r="I81" s="98"/>
      <c r="J81" s="52">
        <f t="shared" si="3"/>
        <v>0</v>
      </c>
      <c r="K81" s="166">
        <f t="shared" si="2"/>
        <v>70000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100000</v>
      </c>
      <c r="C83" s="98">
        <v>100000</v>
      </c>
      <c r="D83" s="98"/>
      <c r="E83" s="98"/>
      <c r="F83" s="52">
        <f t="shared" si="0"/>
        <v>0</v>
      </c>
      <c r="G83" s="52">
        <f t="shared" si="1"/>
        <v>100000</v>
      </c>
      <c r="H83" s="98"/>
      <c r="I83" s="98"/>
      <c r="J83" s="52">
        <f t="shared" si="3"/>
        <v>0</v>
      </c>
      <c r="K83" s="166">
        <f t="shared" si="2"/>
        <v>100000</v>
      </c>
      <c r="L83" s="98"/>
      <c r="M83" s="134"/>
    </row>
    <row r="84" spans="1:13" ht="12.75" customHeight="1">
      <c r="A84" s="164" t="s">
        <v>271</v>
      </c>
      <c r="B84" s="98">
        <v>1260000</v>
      </c>
      <c r="C84" s="98">
        <v>1188075.6</v>
      </c>
      <c r="D84" s="98">
        <v>106684.27</v>
      </c>
      <c r="E84" s="98">
        <v>298720.16</v>
      </c>
      <c r="F84" s="52">
        <f t="shared" si="0"/>
        <v>0.016135560597016475</v>
      </c>
      <c r="G84" s="52">
        <f t="shared" si="1"/>
        <v>889355.4400000002</v>
      </c>
      <c r="H84" s="98">
        <v>106684.27</v>
      </c>
      <c r="I84" s="98">
        <v>298720.16</v>
      </c>
      <c r="J84" s="52">
        <f t="shared" si="3"/>
        <v>0</v>
      </c>
      <c r="K84" s="166">
        <f t="shared" si="2"/>
        <v>889355.4400000002</v>
      </c>
      <c r="L84" s="98"/>
      <c r="M84" s="134"/>
    </row>
    <row r="85" spans="1:13" ht="12.75" customHeight="1">
      <c r="A85" s="164" t="s">
        <v>272</v>
      </c>
      <c r="B85" s="98">
        <v>425000</v>
      </c>
      <c r="C85" s="98">
        <v>433749.61</v>
      </c>
      <c r="D85" s="98"/>
      <c r="E85" s="98">
        <v>25211.01</v>
      </c>
      <c r="F85" s="52">
        <f t="shared" si="0"/>
        <v>0.0013617888379779534</v>
      </c>
      <c r="G85" s="52">
        <f t="shared" si="1"/>
        <v>408538.6</v>
      </c>
      <c r="H85" s="98"/>
      <c r="I85" s="98">
        <v>25211.01</v>
      </c>
      <c r="J85" s="52">
        <f t="shared" si="3"/>
        <v>0</v>
      </c>
      <c r="K85" s="166">
        <f t="shared" si="2"/>
        <v>408538.6</v>
      </c>
      <c r="L85" s="98"/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220000</v>
      </c>
      <c r="C87" s="98">
        <v>539439.5</v>
      </c>
      <c r="D87" s="98">
        <v>14454.5</v>
      </c>
      <c r="E87" s="98">
        <v>539437.5</v>
      </c>
      <c r="F87" s="52"/>
      <c r="G87" s="52">
        <f t="shared" si="1"/>
        <v>2</v>
      </c>
      <c r="H87" s="98">
        <v>102810.12</v>
      </c>
      <c r="I87" s="98">
        <v>158727.14</v>
      </c>
      <c r="J87" s="52"/>
      <c r="K87" s="166">
        <f t="shared" si="2"/>
        <v>380712.36</v>
      </c>
      <c r="L87" s="98">
        <v>380710.36</v>
      </c>
      <c r="M87" s="134"/>
    </row>
    <row r="88" spans="1:13" ht="12.75" customHeight="1">
      <c r="A88" s="164" t="s">
        <v>214</v>
      </c>
      <c r="B88" s="98">
        <v>300000</v>
      </c>
      <c r="C88" s="98">
        <v>109771.3</v>
      </c>
      <c r="D88" s="98">
        <v>78386.89</v>
      </c>
      <c r="E88" s="98">
        <v>78386.89</v>
      </c>
      <c r="F88" s="52">
        <f aca="true" t="shared" si="4" ref="F88:F177">IF(E$181="",0,IF(E$181=0,0,E88/E$181))</f>
        <v>0.004234118024061934</v>
      </c>
      <c r="G88" s="52">
        <f t="shared" si="1"/>
        <v>31384.410000000003</v>
      </c>
      <c r="H88" s="98"/>
      <c r="I88" s="98"/>
      <c r="J88" s="52">
        <f aca="true" t="shared" si="5" ref="J88:J123">IF(I253="",0,IF(I253=0,0,I88/I$181))</f>
        <v>0</v>
      </c>
      <c r="K88" s="166">
        <f t="shared" si="2"/>
        <v>109771.3</v>
      </c>
      <c r="L88" s="98">
        <v>78386.89</v>
      </c>
      <c r="M88" s="134"/>
    </row>
    <row r="89" spans="1:13" ht="12.75" customHeight="1">
      <c r="A89" s="163" t="s">
        <v>275</v>
      </c>
      <c r="B89" s="49">
        <f>SUM(B90:B92)</f>
        <v>600000</v>
      </c>
      <c r="C89" s="49">
        <f>SUM(C90:C92)</f>
        <v>487001</v>
      </c>
      <c r="D89" s="49">
        <f>SUM(D90:D92)</f>
        <v>0</v>
      </c>
      <c r="E89" s="49">
        <f>SUM(E90:E92)</f>
        <v>151000</v>
      </c>
      <c r="F89" s="49">
        <f t="shared" si="4"/>
        <v>0.008156361626712733</v>
      </c>
      <c r="G89" s="49">
        <f t="shared" si="1"/>
        <v>336001</v>
      </c>
      <c r="H89" s="49">
        <f>SUM(H90:H92)</f>
        <v>57413.14</v>
      </c>
      <c r="I89" s="49">
        <f>SUM(I90:I92)</f>
        <v>57413.14</v>
      </c>
      <c r="J89" s="49">
        <f t="shared" si="5"/>
        <v>0</v>
      </c>
      <c r="K89" s="49">
        <f t="shared" si="2"/>
        <v>429587.86</v>
      </c>
      <c r="L89" s="49">
        <f>SUM(L90:L92)</f>
        <v>93586.86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600000</v>
      </c>
      <c r="C91" s="98">
        <v>487001</v>
      </c>
      <c r="D91" s="98"/>
      <c r="E91" s="98">
        <v>151000</v>
      </c>
      <c r="F91" s="52">
        <f t="shared" si="4"/>
        <v>0.008156361626712733</v>
      </c>
      <c r="G91" s="52">
        <f t="shared" si="1"/>
        <v>336001</v>
      </c>
      <c r="H91" s="98">
        <v>57413.14</v>
      </c>
      <c r="I91" s="98">
        <v>57413.14</v>
      </c>
      <c r="J91" s="52">
        <f t="shared" si="5"/>
        <v>0</v>
      </c>
      <c r="K91" s="166">
        <f t="shared" si="2"/>
        <v>429587.86</v>
      </c>
      <c r="L91" s="98">
        <v>93586.86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1640000</v>
      </c>
      <c r="C98" s="49">
        <f>SUM(C99:C102)</f>
        <v>3221404.95</v>
      </c>
      <c r="D98" s="49">
        <f>SUM(D99:D102)</f>
        <v>1083744.49</v>
      </c>
      <c r="E98" s="49">
        <f>SUM(E99:E102)</f>
        <v>2410928.1</v>
      </c>
      <c r="F98" s="49">
        <f t="shared" si="4"/>
        <v>0.13022782410333403</v>
      </c>
      <c r="G98" s="49">
        <f t="shared" si="1"/>
        <v>810476.8500000001</v>
      </c>
      <c r="H98" s="49">
        <f>SUM(H99:H102)</f>
        <v>474000.59</v>
      </c>
      <c r="I98" s="49">
        <f>SUM(I99:I102)</f>
        <v>945544.2000000001</v>
      </c>
      <c r="J98" s="49">
        <f t="shared" si="5"/>
        <v>0</v>
      </c>
      <c r="K98" s="49">
        <f t="shared" si="2"/>
        <v>2275860.75</v>
      </c>
      <c r="L98" s="49">
        <f>SUM(L99:L102)</f>
        <v>1465383.9</v>
      </c>
      <c r="M98" s="134"/>
    </row>
    <row r="99" spans="1:13" ht="12.75" customHeight="1">
      <c r="A99" s="164" t="s">
        <v>283</v>
      </c>
      <c r="B99" s="98">
        <v>530000</v>
      </c>
      <c r="C99" s="98">
        <v>1738409.19</v>
      </c>
      <c r="D99" s="98">
        <v>281825.36</v>
      </c>
      <c r="E99" s="98">
        <v>1480427.21</v>
      </c>
      <c r="F99" s="52">
        <f t="shared" si="4"/>
        <v>0.07996622309129399</v>
      </c>
      <c r="G99" s="52">
        <f t="shared" si="1"/>
        <v>257981.97999999998</v>
      </c>
      <c r="H99" s="98">
        <v>334804.96</v>
      </c>
      <c r="I99" s="98">
        <v>677766.81</v>
      </c>
      <c r="J99" s="52">
        <f t="shared" si="5"/>
        <v>0</v>
      </c>
      <c r="K99" s="166">
        <f t="shared" si="2"/>
        <v>1060642.38</v>
      </c>
      <c r="L99" s="98">
        <v>802660.4</v>
      </c>
      <c r="M99" s="134"/>
    </row>
    <row r="100" spans="1:13" ht="12.75" customHeight="1">
      <c r="A100" s="164" t="s">
        <v>284</v>
      </c>
      <c r="B100" s="98">
        <v>1000000</v>
      </c>
      <c r="C100" s="98">
        <v>1372995.76</v>
      </c>
      <c r="D100" s="98">
        <v>801919.13</v>
      </c>
      <c r="E100" s="98">
        <v>930500.89</v>
      </c>
      <c r="F100" s="52">
        <f t="shared" si="4"/>
        <v>0.05026160101204004</v>
      </c>
      <c r="G100" s="52">
        <f t="shared" si="1"/>
        <v>442494.87</v>
      </c>
      <c r="H100" s="98">
        <v>139195.63</v>
      </c>
      <c r="I100" s="98">
        <v>267777.39</v>
      </c>
      <c r="J100" s="52">
        <f t="shared" si="5"/>
        <v>0</v>
      </c>
      <c r="K100" s="166">
        <f t="shared" si="2"/>
        <v>1105218.37</v>
      </c>
      <c r="L100" s="98">
        <v>662723.5</v>
      </c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110000</v>
      </c>
      <c r="C102" s="98">
        <v>110000</v>
      </c>
      <c r="D102" s="98"/>
      <c r="E102" s="98"/>
      <c r="F102" s="52">
        <f t="shared" si="4"/>
        <v>0</v>
      </c>
      <c r="G102" s="52">
        <f t="shared" si="1"/>
        <v>110000</v>
      </c>
      <c r="H102" s="98"/>
      <c r="I102" s="98"/>
      <c r="J102" s="52">
        <f t="shared" si="5"/>
        <v>0</v>
      </c>
      <c r="K102" s="166">
        <f t="shared" si="2"/>
        <v>110000</v>
      </c>
      <c r="L102" s="98"/>
      <c r="M102" s="134"/>
    </row>
    <row r="103" spans="1:13" ht="12.75" customHeight="1">
      <c r="A103" s="163" t="s">
        <v>286</v>
      </c>
      <c r="B103" s="49">
        <f>SUM(B104:B106)</f>
        <v>760000</v>
      </c>
      <c r="C103" s="49">
        <f>SUM(C104:C106)</f>
        <v>689064.25</v>
      </c>
      <c r="D103" s="49">
        <f>SUM(D104:D106)</f>
        <v>13200</v>
      </c>
      <c r="E103" s="49">
        <f>SUM(E104:E106)</f>
        <v>30800</v>
      </c>
      <c r="F103" s="49">
        <f t="shared" si="4"/>
        <v>0.0016636817092897493</v>
      </c>
      <c r="G103" s="49">
        <f t="shared" si="1"/>
        <v>658264.25</v>
      </c>
      <c r="H103" s="49">
        <f>SUM(H104:H106)</f>
        <v>13200</v>
      </c>
      <c r="I103" s="49">
        <f>SUM(I104:I106)</f>
        <v>30800</v>
      </c>
      <c r="J103" s="49">
        <f t="shared" si="5"/>
        <v>0</v>
      </c>
      <c r="K103" s="49">
        <f t="shared" si="2"/>
        <v>658264.25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760000</v>
      </c>
      <c r="C105" s="98">
        <v>689064.25</v>
      </c>
      <c r="D105" s="98">
        <v>13200</v>
      </c>
      <c r="E105" s="98">
        <v>30800</v>
      </c>
      <c r="F105" s="52">
        <f t="shared" si="4"/>
        <v>0.0016636817092897493</v>
      </c>
      <c r="G105" s="52">
        <f t="shared" si="1"/>
        <v>658264.25</v>
      </c>
      <c r="H105" s="98">
        <v>13200</v>
      </c>
      <c r="I105" s="98">
        <v>30800</v>
      </c>
      <c r="J105" s="52">
        <f t="shared" si="5"/>
        <v>0</v>
      </c>
      <c r="K105" s="166">
        <f t="shared" si="2"/>
        <v>658264.25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1750000</v>
      </c>
      <c r="C107" s="49">
        <f>SUM(C108:C110)</f>
        <v>753579.76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753579.76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753579.76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>
        <v>0</v>
      </c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1750000</v>
      </c>
      <c r="C109" s="98">
        <v>753579.76</v>
      </c>
      <c r="D109" s="98"/>
      <c r="E109" s="98"/>
      <c r="F109" s="52">
        <f t="shared" si="4"/>
        <v>0</v>
      </c>
      <c r="G109" s="52">
        <f t="shared" si="1"/>
        <v>753579.76</v>
      </c>
      <c r="H109" s="98"/>
      <c r="I109" s="98"/>
      <c r="J109" s="52">
        <f t="shared" si="5"/>
        <v>0</v>
      </c>
      <c r="K109" s="166">
        <f t="shared" si="2"/>
        <v>753579.76</v>
      </c>
      <c r="L109" s="98"/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840000</v>
      </c>
      <c r="C111" s="49">
        <f>SUM(C112:C117)</f>
        <v>445052</v>
      </c>
      <c r="D111" s="49">
        <f>SUM(D112:D117)</f>
        <v>17014.38</v>
      </c>
      <c r="E111" s="49">
        <f>SUM(E112:E117)</f>
        <v>20600.14</v>
      </c>
      <c r="F111" s="49">
        <f t="shared" si="4"/>
        <v>0.0011127297443768876</v>
      </c>
      <c r="G111" s="49">
        <f t="shared" si="1"/>
        <v>424451.86</v>
      </c>
      <c r="H111" s="49">
        <f>SUM(H112:H117)</f>
        <v>17014.38</v>
      </c>
      <c r="I111" s="49">
        <f>SUM(I112:I117)</f>
        <v>20600.14</v>
      </c>
      <c r="J111" s="49">
        <f t="shared" si="5"/>
        <v>0</v>
      </c>
      <c r="K111" s="49">
        <f t="shared" si="2"/>
        <v>424451.86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240000</v>
      </c>
      <c r="C112" s="98">
        <v>240000</v>
      </c>
      <c r="D112" s="98"/>
      <c r="E112" s="98"/>
      <c r="F112" s="52">
        <f t="shared" si="4"/>
        <v>0</v>
      </c>
      <c r="G112" s="52">
        <f t="shared" si="1"/>
        <v>240000</v>
      </c>
      <c r="H112" s="98"/>
      <c r="I112" s="98"/>
      <c r="J112" s="52">
        <f t="shared" si="5"/>
        <v>0</v>
      </c>
      <c r="K112" s="166">
        <f t="shared" si="2"/>
        <v>240000</v>
      </c>
      <c r="L112" s="98"/>
      <c r="M112" s="134"/>
    </row>
    <row r="113" spans="1:13" ht="12.75" customHeight="1">
      <c r="A113" s="164" t="s">
        <v>294</v>
      </c>
      <c r="B113" s="98">
        <v>600000</v>
      </c>
      <c r="C113" s="98">
        <v>205052</v>
      </c>
      <c r="D113" s="98">
        <v>17014.38</v>
      </c>
      <c r="E113" s="98">
        <v>20600.14</v>
      </c>
      <c r="F113" s="52">
        <f t="shared" si="4"/>
        <v>0.0011127297443768876</v>
      </c>
      <c r="G113" s="52">
        <f t="shared" si="1"/>
        <v>184451.86</v>
      </c>
      <c r="H113" s="98">
        <v>17014.38</v>
      </c>
      <c r="I113" s="98">
        <v>20600.14</v>
      </c>
      <c r="J113" s="52">
        <f t="shared" si="5"/>
        <v>0</v>
      </c>
      <c r="K113" s="166">
        <f t="shared" si="2"/>
        <v>184451.86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1790000</v>
      </c>
      <c r="C123" s="49">
        <f>SUM(C124:C129)</f>
        <v>1253017.75</v>
      </c>
      <c r="D123" s="49">
        <f>SUM(D124:D129)</f>
        <v>50362.16</v>
      </c>
      <c r="E123" s="49">
        <f>SUM(E124:E129)</f>
        <v>208546.42</v>
      </c>
      <c r="F123" s="49">
        <f t="shared" si="4"/>
        <v>0.011264768327657727</v>
      </c>
      <c r="G123" s="49">
        <f t="shared" si="1"/>
        <v>1044471.33</v>
      </c>
      <c r="H123" s="49">
        <f>SUM(H124:H129)</f>
        <v>75412.16</v>
      </c>
      <c r="I123" s="49">
        <f>SUM(I124:I129)</f>
        <v>158446.42</v>
      </c>
      <c r="J123" s="49">
        <f t="shared" si="5"/>
        <v>0</v>
      </c>
      <c r="K123" s="49">
        <f t="shared" si="2"/>
        <v>1094571.33</v>
      </c>
      <c r="L123" s="49">
        <f>SUM(L124:L129)</f>
        <v>50100</v>
      </c>
      <c r="M123" s="134"/>
    </row>
    <row r="124" spans="1:13" ht="12.75" customHeight="1">
      <c r="A124" s="164" t="s">
        <v>303</v>
      </c>
      <c r="B124" s="98">
        <v>700000</v>
      </c>
      <c r="C124" s="98">
        <v>255002</v>
      </c>
      <c r="D124" s="98"/>
      <c r="E124" s="98"/>
      <c r="F124" s="52">
        <f t="shared" si="4"/>
        <v>0</v>
      </c>
      <c r="G124" s="52">
        <f t="shared" si="1"/>
        <v>255002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255002</v>
      </c>
      <c r="L124" s="98"/>
      <c r="M124" s="134"/>
    </row>
    <row r="125" spans="1:13" ht="12.75" customHeight="1">
      <c r="A125" s="164" t="s">
        <v>304</v>
      </c>
      <c r="B125" s="98">
        <v>540000</v>
      </c>
      <c r="C125" s="98">
        <v>394142.97</v>
      </c>
      <c r="D125" s="98"/>
      <c r="E125" s="98"/>
      <c r="F125" s="52">
        <f t="shared" si="4"/>
        <v>0</v>
      </c>
      <c r="G125" s="52">
        <f t="shared" si="1"/>
        <v>394142.97</v>
      </c>
      <c r="H125" s="98"/>
      <c r="I125" s="98"/>
      <c r="J125" s="52">
        <f t="shared" si="6"/>
        <v>0</v>
      </c>
      <c r="K125" s="166">
        <f t="shared" si="2"/>
        <v>394142.97</v>
      </c>
      <c r="L125" s="98"/>
      <c r="M125" s="134"/>
    </row>
    <row r="126" spans="1:13" ht="12.75" customHeight="1">
      <c r="A126" s="164" t="s">
        <v>305</v>
      </c>
      <c r="B126" s="98">
        <v>200000</v>
      </c>
      <c r="C126" s="98">
        <v>200000</v>
      </c>
      <c r="D126" s="98"/>
      <c r="E126" s="98"/>
      <c r="F126" s="52">
        <f t="shared" si="4"/>
        <v>0</v>
      </c>
      <c r="G126" s="52">
        <f t="shared" si="1"/>
        <v>200000</v>
      </c>
      <c r="H126" s="98"/>
      <c r="I126" s="98"/>
      <c r="J126" s="52">
        <f t="shared" si="6"/>
        <v>0</v>
      </c>
      <c r="K126" s="166">
        <f t="shared" si="2"/>
        <v>200000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350000</v>
      </c>
      <c r="C129" s="98">
        <v>403872.78</v>
      </c>
      <c r="D129" s="98">
        <v>50362.16</v>
      </c>
      <c r="E129" s="98">
        <v>208546.42</v>
      </c>
      <c r="F129" s="52">
        <f t="shared" si="4"/>
        <v>0.011264768327657727</v>
      </c>
      <c r="G129" s="52">
        <f t="shared" si="1"/>
        <v>195326.36000000002</v>
      </c>
      <c r="H129" s="98">
        <v>75412.16</v>
      </c>
      <c r="I129" s="98">
        <v>158446.42</v>
      </c>
      <c r="J129" s="52">
        <f t="shared" si="6"/>
        <v>0</v>
      </c>
      <c r="K129" s="166">
        <f t="shared" si="2"/>
        <v>245426.36000000002</v>
      </c>
      <c r="L129" s="98">
        <v>50100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140000</v>
      </c>
      <c r="C147" s="49">
        <f>SUM(C148:C150)</f>
        <v>143663.8</v>
      </c>
      <c r="D147" s="49">
        <f>SUM(D148:D150)</f>
        <v>10657.96</v>
      </c>
      <c r="E147" s="49">
        <f>SUM(E148:E150)</f>
        <v>29255.78</v>
      </c>
      <c r="F147" s="49">
        <f t="shared" si="4"/>
        <v>0.0015802696778248332</v>
      </c>
      <c r="G147" s="49">
        <f t="shared" si="1"/>
        <v>114408.01999999999</v>
      </c>
      <c r="H147" s="49">
        <f>SUM(H148:H150)</f>
        <v>10657.96</v>
      </c>
      <c r="I147" s="49">
        <f>SUM(I148:I150)</f>
        <v>29255.78</v>
      </c>
      <c r="J147" s="49">
        <f t="shared" si="7"/>
        <v>0</v>
      </c>
      <c r="K147" s="49">
        <f t="shared" si="2"/>
        <v>114408.01999999999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>
        <v>140000</v>
      </c>
      <c r="C150" s="98">
        <v>143663.8</v>
      </c>
      <c r="D150" s="98">
        <v>10657.96</v>
      </c>
      <c r="E150" s="98">
        <v>29255.78</v>
      </c>
      <c r="F150" s="52">
        <f t="shared" si="4"/>
        <v>0.0015802696778248332</v>
      </c>
      <c r="G150" s="52">
        <f t="shared" si="1"/>
        <v>114408.01999999999</v>
      </c>
      <c r="H150" s="98">
        <v>10657.96</v>
      </c>
      <c r="I150" s="98">
        <v>29255.78</v>
      </c>
      <c r="J150" s="52">
        <f t="shared" si="7"/>
        <v>0</v>
      </c>
      <c r="K150" s="166">
        <f t="shared" si="2"/>
        <v>114408.01999999999</v>
      </c>
      <c r="L150" s="98"/>
      <c r="M150" s="134"/>
    </row>
    <row r="151" spans="1:13" ht="12.75" customHeight="1">
      <c r="A151" s="163" t="s">
        <v>326</v>
      </c>
      <c r="B151" s="49">
        <f>SUM(B152:B156)</f>
        <v>630000</v>
      </c>
      <c r="C151" s="49">
        <f>SUM(C152:C156)</f>
        <v>482801</v>
      </c>
      <c r="D151" s="49">
        <f>SUM(D152:D156)</f>
        <v>0</v>
      </c>
      <c r="E151" s="49">
        <f>SUM(E152:E156)</f>
        <v>52800</v>
      </c>
      <c r="F151" s="49">
        <f t="shared" si="4"/>
        <v>0.002852025787353856</v>
      </c>
      <c r="G151" s="49">
        <f t="shared" si="1"/>
        <v>430001</v>
      </c>
      <c r="H151" s="49">
        <f>SUM(H152:H156)</f>
        <v>4800</v>
      </c>
      <c r="I151" s="49">
        <f>SUM(I152:I156)</f>
        <v>4800</v>
      </c>
      <c r="J151" s="49">
        <f t="shared" si="7"/>
        <v>0</v>
      </c>
      <c r="K151" s="49">
        <f t="shared" si="2"/>
        <v>478001</v>
      </c>
      <c r="L151" s="49">
        <f>SUM(L152:L156)</f>
        <v>48000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630000</v>
      </c>
      <c r="C153" s="98">
        <v>482801</v>
      </c>
      <c r="D153" s="98"/>
      <c r="E153" s="98">
        <v>52800</v>
      </c>
      <c r="F153" s="52">
        <f t="shared" si="4"/>
        <v>0.002852025787353856</v>
      </c>
      <c r="G153" s="52">
        <f t="shared" si="1"/>
        <v>430001</v>
      </c>
      <c r="H153" s="98">
        <v>4800</v>
      </c>
      <c r="I153" s="98">
        <v>4800</v>
      </c>
      <c r="J153" s="52">
        <f t="shared" si="7"/>
        <v>0</v>
      </c>
      <c r="K153" s="166">
        <f t="shared" si="2"/>
        <v>478001</v>
      </c>
      <c r="L153" s="98">
        <v>48000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1160000</v>
      </c>
      <c r="C157" s="49">
        <f>SUM(C158:C163)</f>
        <v>610196.59</v>
      </c>
      <c r="D157" s="49">
        <f>SUM(D158:D163)</f>
        <v>0</v>
      </c>
      <c r="E157" s="49">
        <f>SUM(E158:E163)</f>
        <v>2002.62</v>
      </c>
      <c r="F157" s="49">
        <f t="shared" si="4"/>
        <v>0.00010817280080057915</v>
      </c>
      <c r="G157" s="49">
        <f t="shared" si="1"/>
        <v>608193.97</v>
      </c>
      <c r="H157" s="49">
        <f>SUM(H158:H163)</f>
        <v>0</v>
      </c>
      <c r="I157" s="49">
        <f>SUM(I158:I163)</f>
        <v>2002.62</v>
      </c>
      <c r="J157" s="49">
        <f t="shared" si="7"/>
        <v>0</v>
      </c>
      <c r="K157" s="49">
        <f t="shared" si="2"/>
        <v>608193.97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900000</v>
      </c>
      <c r="C159" s="98">
        <v>350000</v>
      </c>
      <c r="D159" s="98"/>
      <c r="E159" s="98"/>
      <c r="F159" s="52">
        <f t="shared" si="4"/>
        <v>0</v>
      </c>
      <c r="G159" s="52">
        <f t="shared" si="1"/>
        <v>350000</v>
      </c>
      <c r="H159" s="98"/>
      <c r="I159" s="98"/>
      <c r="J159" s="52">
        <f t="shared" si="7"/>
        <v>0</v>
      </c>
      <c r="K159" s="166">
        <f t="shared" si="2"/>
        <v>350000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260000</v>
      </c>
      <c r="C163" s="98">
        <v>260196.59</v>
      </c>
      <c r="D163" s="98"/>
      <c r="E163" s="98">
        <v>2002.62</v>
      </c>
      <c r="F163" s="52">
        <f t="shared" si="4"/>
        <v>0.00010817280080057915</v>
      </c>
      <c r="G163" s="52">
        <f t="shared" si="1"/>
        <v>258193.97</v>
      </c>
      <c r="H163" s="98"/>
      <c r="I163" s="98">
        <v>2002.62</v>
      </c>
      <c r="J163" s="52">
        <f t="shared" si="7"/>
        <v>0</v>
      </c>
      <c r="K163" s="166">
        <f t="shared" si="2"/>
        <v>258193.97</v>
      </c>
      <c r="L163" s="98"/>
      <c r="M163" s="134"/>
    </row>
    <row r="164" spans="1:13" ht="12.75" customHeight="1">
      <c r="A164" s="163" t="s">
        <v>337</v>
      </c>
      <c r="B164" s="49">
        <f>SUM(B165:B168)</f>
        <v>1140000</v>
      </c>
      <c r="C164" s="49">
        <f>SUM(C165:C168)</f>
        <v>1568525</v>
      </c>
      <c r="D164" s="49">
        <f>SUM(D165:D168)</f>
        <v>16990.36</v>
      </c>
      <c r="E164" s="49">
        <f>SUM(E165:E168)</f>
        <v>479247.9</v>
      </c>
      <c r="F164" s="49">
        <f t="shared" si="4"/>
        <v>0.025886881994984512</v>
      </c>
      <c r="G164" s="49">
        <f t="shared" si="1"/>
        <v>1089277.1</v>
      </c>
      <c r="H164" s="49">
        <f>SUM(H165:H168)</f>
        <v>16990.36</v>
      </c>
      <c r="I164" s="49">
        <f>SUM(I165:I168)</f>
        <v>48062.9</v>
      </c>
      <c r="J164" s="49">
        <f t="shared" si="7"/>
        <v>0</v>
      </c>
      <c r="K164" s="49">
        <f t="shared" si="2"/>
        <v>1520462.1</v>
      </c>
      <c r="L164" s="49">
        <f>SUM(L165:L168)</f>
        <v>431185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950000</v>
      </c>
      <c r="C166" s="98">
        <v>950000</v>
      </c>
      <c r="D166" s="98"/>
      <c r="E166" s="98"/>
      <c r="F166" s="52">
        <f t="shared" si="4"/>
        <v>0</v>
      </c>
      <c r="G166" s="52">
        <f t="shared" si="1"/>
        <v>950000</v>
      </c>
      <c r="H166" s="98"/>
      <c r="I166" s="98"/>
      <c r="J166" s="52">
        <f t="shared" si="7"/>
        <v>0</v>
      </c>
      <c r="K166" s="166">
        <f t="shared" si="2"/>
        <v>950000</v>
      </c>
      <c r="L166" s="98"/>
      <c r="M166" s="134"/>
    </row>
    <row r="167" spans="1:13" ht="12.75" customHeight="1">
      <c r="A167" s="164" t="s">
        <v>340</v>
      </c>
      <c r="B167" s="98">
        <v>50000</v>
      </c>
      <c r="C167" s="98">
        <v>50000</v>
      </c>
      <c r="D167" s="98"/>
      <c r="E167" s="98"/>
      <c r="F167" s="52">
        <f t="shared" si="4"/>
        <v>0</v>
      </c>
      <c r="G167" s="52">
        <f t="shared" si="1"/>
        <v>50000</v>
      </c>
      <c r="H167" s="98"/>
      <c r="I167" s="98"/>
      <c r="J167" s="52">
        <f t="shared" si="7"/>
        <v>0</v>
      </c>
      <c r="K167" s="166">
        <f t="shared" si="2"/>
        <v>50000</v>
      </c>
      <c r="L167" s="98"/>
      <c r="M167" s="134"/>
    </row>
    <row r="168" spans="1:13" ht="12.75" customHeight="1">
      <c r="A168" s="164" t="s">
        <v>214</v>
      </c>
      <c r="B168" s="98">
        <v>140000</v>
      </c>
      <c r="C168" s="98">
        <v>568525</v>
      </c>
      <c r="D168" s="98">
        <v>16990.36</v>
      </c>
      <c r="E168" s="98">
        <v>479247.9</v>
      </c>
      <c r="F168" s="52">
        <f t="shared" si="4"/>
        <v>0.025886881994984512</v>
      </c>
      <c r="G168" s="52">
        <f t="shared" si="1"/>
        <v>89277.09999999998</v>
      </c>
      <c r="H168" s="98">
        <v>16990.36</v>
      </c>
      <c r="I168" s="98">
        <v>48062.9</v>
      </c>
      <c r="J168" s="52">
        <f t="shared" si="7"/>
        <v>0</v>
      </c>
      <c r="K168" s="166">
        <f t="shared" si="2"/>
        <v>520462.1</v>
      </c>
      <c r="L168" s="98">
        <v>431185</v>
      </c>
      <c r="M168" s="134"/>
    </row>
    <row r="169" spans="1:13" ht="12.75" customHeight="1">
      <c r="A169" s="163" t="s">
        <v>341</v>
      </c>
      <c r="B169" s="49">
        <f>SUM(B170:B177)</f>
        <v>300000</v>
      </c>
      <c r="C169" s="49">
        <f>SUM(C170:C177)</f>
        <v>300638.88</v>
      </c>
      <c r="D169" s="49">
        <f>SUM(D170:D177)</f>
        <v>58581.47</v>
      </c>
      <c r="E169" s="49">
        <f>SUM(E170:E177)</f>
        <v>176842.71000000002</v>
      </c>
      <c r="F169" s="49">
        <f t="shared" si="4"/>
        <v>0.0095522721444231</v>
      </c>
      <c r="G169" s="49">
        <f t="shared" si="1"/>
        <v>123796.16999999998</v>
      </c>
      <c r="H169" s="49">
        <f>SUM(H170:H177)</f>
        <v>58581.47</v>
      </c>
      <c r="I169" s="49">
        <f>SUM(I170:I177)</f>
        <v>176842.71000000002</v>
      </c>
      <c r="J169" s="49">
        <f t="shared" si="7"/>
        <v>0</v>
      </c>
      <c r="K169" s="49">
        <f t="shared" si="2"/>
        <v>123796.16999999998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>
        <v>180000</v>
      </c>
      <c r="C170" s="98">
        <v>180000</v>
      </c>
      <c r="D170" s="98">
        <v>36476</v>
      </c>
      <c r="E170" s="98">
        <v>109385.97</v>
      </c>
      <c r="F170" s="52">
        <f t="shared" si="4"/>
        <v>0.005908553166945365</v>
      </c>
      <c r="G170" s="52">
        <f t="shared" si="1"/>
        <v>70614.03</v>
      </c>
      <c r="H170" s="98">
        <v>36476</v>
      </c>
      <c r="I170" s="98">
        <v>109385.97</v>
      </c>
      <c r="J170" s="52">
        <f t="shared" si="7"/>
        <v>0</v>
      </c>
      <c r="K170" s="166">
        <f t="shared" si="2"/>
        <v>70614.03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120000</v>
      </c>
      <c r="C175" s="98">
        <v>120638.88</v>
      </c>
      <c r="D175" s="98">
        <v>22105.47</v>
      </c>
      <c r="E175" s="98">
        <v>67456.74</v>
      </c>
      <c r="F175" s="52">
        <f t="shared" si="4"/>
        <v>0.0036437189774777344</v>
      </c>
      <c r="G175" s="52">
        <f t="shared" si="1"/>
        <v>53182.14</v>
      </c>
      <c r="H175" s="98">
        <v>22105.47</v>
      </c>
      <c r="I175" s="98">
        <v>67456.74</v>
      </c>
      <c r="J175" s="52">
        <f t="shared" si="7"/>
        <v>0</v>
      </c>
      <c r="K175" s="166">
        <f t="shared" si="2"/>
        <v>53182.14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300000</v>
      </c>
      <c r="C178" s="167">
        <v>300000</v>
      </c>
      <c r="D178" s="168"/>
      <c r="E178" s="168"/>
      <c r="F178" s="168"/>
      <c r="G178" s="169">
        <f t="shared" si="1"/>
        <v>300000</v>
      </c>
      <c r="H178" s="168"/>
      <c r="I178" s="168"/>
      <c r="J178" s="168"/>
      <c r="K178" s="169">
        <f t="shared" si="2"/>
        <v>300000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35086000</v>
      </c>
      <c r="C181" s="178">
        <f t="shared" si="8"/>
        <v>37146682.760000005</v>
      </c>
      <c r="D181" s="178">
        <f t="shared" si="8"/>
        <v>6637777.5200000005</v>
      </c>
      <c r="E181" s="178">
        <f t="shared" si="8"/>
        <v>18513156.590000007</v>
      </c>
      <c r="F181" s="178">
        <f t="shared" si="8"/>
        <v>1</v>
      </c>
      <c r="G181" s="178">
        <f t="shared" si="8"/>
        <v>18633526.169999998</v>
      </c>
      <c r="H181" s="178">
        <f t="shared" si="8"/>
        <v>4757037.3100000005</v>
      </c>
      <c r="I181" s="178">
        <f t="shared" si="8"/>
        <v>10592824.399999999</v>
      </c>
      <c r="J181" s="178">
        <f t="shared" si="8"/>
        <v>1</v>
      </c>
      <c r="K181" s="178">
        <f t="shared" si="8"/>
        <v>26553858.360000007</v>
      </c>
      <c r="L181" s="178">
        <f t="shared" si="8"/>
        <v>7920332.1899999995</v>
      </c>
      <c r="M181" s="179"/>
    </row>
    <row r="182" spans="1:11" ht="11.25" customHeight="1">
      <c r="A182" s="902" t="s">
        <v>159</v>
      </c>
      <c r="B182" s="902"/>
      <c r="C182" s="902"/>
      <c r="D182" s="902"/>
      <c r="E182" s="902"/>
      <c r="F182" s="902"/>
      <c r="G182" s="902"/>
      <c r="H182" s="902"/>
      <c r="I182" s="902"/>
      <c r="J182" s="902"/>
      <c r="K182" s="902"/>
    </row>
    <row r="183" spans="1:3" ht="11.25" customHeight="1">
      <c r="A183" s="903" t="s">
        <v>351</v>
      </c>
      <c r="B183" s="903"/>
      <c r="C183" s="90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PageLayoutView="0" workbookViewId="0" topLeftCell="F17">
      <selection activeCell="O21" sqref="O21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867" t="str">
        <f>+'Informações Iniciais'!A1</f>
        <v>ESTADO DO MARANHÃO - MUNICÍPIO DE SÃO FRANCISCO DO BREJÃO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869" t="s">
        <v>366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1591207.4400000002</v>
      </c>
      <c r="C13" s="186">
        <f t="shared" si="0"/>
        <v>1865202.18</v>
      </c>
      <c r="D13" s="186">
        <f t="shared" si="0"/>
        <v>2145549.99</v>
      </c>
      <c r="E13" s="186">
        <f t="shared" si="0"/>
        <v>1771391.4400000002</v>
      </c>
      <c r="F13" s="186">
        <f t="shared" si="0"/>
        <v>1387313.5</v>
      </c>
      <c r="G13" s="186">
        <f t="shared" si="0"/>
        <v>2752951.85</v>
      </c>
      <c r="H13" s="186">
        <f t="shared" si="0"/>
        <v>1554571.0200000003</v>
      </c>
      <c r="I13" s="186">
        <f t="shared" si="0"/>
        <v>2967300.86</v>
      </c>
      <c r="J13" s="186">
        <f t="shared" si="0"/>
        <v>1698445.3199999998</v>
      </c>
      <c r="K13" s="186">
        <f t="shared" si="0"/>
        <v>1672072.4100000001</v>
      </c>
      <c r="L13" s="186">
        <f t="shared" si="0"/>
        <v>2160038.9699999997</v>
      </c>
      <c r="M13" s="186">
        <f t="shared" si="0"/>
        <v>2940813.29</v>
      </c>
      <c r="N13" s="186">
        <f aca="true" t="shared" si="1" ref="N13:N41">SUM(B13:M13)</f>
        <v>24506858.269999996</v>
      </c>
      <c r="O13" s="186">
        <f>+O14+O20+O21+O24+O25+O26+O27+O36</f>
        <v>33420500</v>
      </c>
    </row>
    <row r="14" spans="1:15" ht="12.75" customHeight="1">
      <c r="A14" s="53" t="s">
        <v>377</v>
      </c>
      <c r="B14" s="100">
        <f aca="true" t="shared" si="2" ref="B14:M14">SUM(B15:B19)</f>
        <v>23595.690000000002</v>
      </c>
      <c r="C14" s="100">
        <f t="shared" si="2"/>
        <v>28923.669999999995</v>
      </c>
      <c r="D14" s="100">
        <f t="shared" si="2"/>
        <v>49489.020000000004</v>
      </c>
      <c r="E14" s="100">
        <f t="shared" si="2"/>
        <v>33773.33</v>
      </c>
      <c r="F14" s="100">
        <f t="shared" si="2"/>
        <v>25757.84</v>
      </c>
      <c r="G14" s="100">
        <f t="shared" si="2"/>
        <v>32308.989999999998</v>
      </c>
      <c r="H14" s="100">
        <f t="shared" si="2"/>
        <v>44813.399999999994</v>
      </c>
      <c r="I14" s="100">
        <f t="shared" si="2"/>
        <v>32251.25</v>
      </c>
      <c r="J14" s="100">
        <f t="shared" si="2"/>
        <v>18905.73</v>
      </c>
      <c r="K14" s="100">
        <f t="shared" si="2"/>
        <v>76851.67</v>
      </c>
      <c r="L14" s="100">
        <f t="shared" si="2"/>
        <v>21817.269999999997</v>
      </c>
      <c r="M14" s="100">
        <f t="shared" si="2"/>
        <v>85333.82</v>
      </c>
      <c r="N14" s="100">
        <f t="shared" si="1"/>
        <v>473821.68</v>
      </c>
      <c r="O14" s="100">
        <f>SUM(O15:O19)</f>
        <v>173300</v>
      </c>
    </row>
    <row r="15" spans="1:15" ht="12.75" customHeight="1">
      <c r="A15" s="50" t="s">
        <v>378</v>
      </c>
      <c r="B15" s="187">
        <v>321.6</v>
      </c>
      <c r="C15" s="187">
        <v>1478.5</v>
      </c>
      <c r="D15" s="187">
        <v>1015.25</v>
      </c>
      <c r="E15" s="187">
        <v>1330.32</v>
      </c>
      <c r="F15" s="187">
        <v>0</v>
      </c>
      <c r="G15" s="187">
        <v>0</v>
      </c>
      <c r="H15" s="187">
        <v>0</v>
      </c>
      <c r="I15" s="187">
        <v>468.21</v>
      </c>
      <c r="J15" s="187">
        <v>1371.71</v>
      </c>
      <c r="K15" s="187">
        <v>0</v>
      </c>
      <c r="L15" s="187">
        <v>0</v>
      </c>
      <c r="M15" s="187">
        <v>1200</v>
      </c>
      <c r="N15" s="166">
        <f t="shared" si="1"/>
        <v>7185.59</v>
      </c>
      <c r="O15" s="187">
        <v>6500</v>
      </c>
    </row>
    <row r="16" spans="1:15" ht="12.75" customHeight="1">
      <c r="A16" s="50" t="s">
        <v>379</v>
      </c>
      <c r="B16" s="187">
        <v>11074.16</v>
      </c>
      <c r="C16" s="187">
        <v>15409.99</v>
      </c>
      <c r="D16" s="187">
        <v>24317.93</v>
      </c>
      <c r="E16" s="187">
        <v>14671.74</v>
      </c>
      <c r="F16" s="187">
        <v>11489.21</v>
      </c>
      <c r="G16" s="187">
        <v>9494.16</v>
      </c>
      <c r="H16" s="187">
        <v>33065.13</v>
      </c>
      <c r="I16" s="187">
        <v>21369.38</v>
      </c>
      <c r="J16" s="187">
        <v>8182.32</v>
      </c>
      <c r="K16" s="187">
        <v>70060.87</v>
      </c>
      <c r="L16" s="187">
        <v>8405.8</v>
      </c>
      <c r="M16" s="187">
        <v>6291.9</v>
      </c>
      <c r="N16" s="166">
        <f t="shared" si="1"/>
        <v>233832.59</v>
      </c>
      <c r="O16" s="187">
        <v>100500</v>
      </c>
    </row>
    <row r="17" spans="1:15" ht="12.75" customHeight="1">
      <c r="A17" s="50" t="s">
        <v>380</v>
      </c>
      <c r="B17" s="187">
        <v>7746.82</v>
      </c>
      <c r="C17" s="187">
        <v>189.55</v>
      </c>
      <c r="D17" s="187">
        <v>15860.9</v>
      </c>
      <c r="E17" s="187">
        <v>333.15</v>
      </c>
      <c r="F17" s="187">
        <v>5191.95</v>
      </c>
      <c r="G17" s="187">
        <v>955.04</v>
      </c>
      <c r="H17" s="187">
        <v>3179.28</v>
      </c>
      <c r="I17" s="187">
        <v>1200</v>
      </c>
      <c r="J17" s="187">
        <v>1932.48</v>
      </c>
      <c r="K17" s="187">
        <v>0</v>
      </c>
      <c r="L17" s="187">
        <v>1200</v>
      </c>
      <c r="M17" s="187"/>
      <c r="N17" s="166">
        <f t="shared" si="1"/>
        <v>37789.170000000006</v>
      </c>
      <c r="O17" s="187">
        <v>5500</v>
      </c>
    </row>
    <row r="18" spans="1:15" ht="12.75" customHeight="1">
      <c r="A18" s="50" t="s">
        <v>381</v>
      </c>
      <c r="B18" s="187">
        <v>2908.28</v>
      </c>
      <c r="C18" s="187">
        <v>8118.01</v>
      </c>
      <c r="D18" s="187">
        <v>8294.94</v>
      </c>
      <c r="E18" s="187">
        <v>8046.3</v>
      </c>
      <c r="F18" s="187">
        <v>7598.18</v>
      </c>
      <c r="G18" s="187">
        <v>6903.21</v>
      </c>
      <c r="H18" s="187">
        <v>6968.99</v>
      </c>
      <c r="I18" s="187">
        <v>9213.66</v>
      </c>
      <c r="J18" s="187">
        <v>7115.85</v>
      </c>
      <c r="K18" s="187">
        <v>6184.08</v>
      </c>
      <c r="L18" s="187">
        <v>12180.47</v>
      </c>
      <c r="M18" s="187">
        <v>7755.9</v>
      </c>
      <c r="N18" s="166">
        <f t="shared" si="1"/>
        <v>91287.87</v>
      </c>
      <c r="O18" s="187">
        <v>51500</v>
      </c>
    </row>
    <row r="19" spans="1:15" ht="12.75" customHeight="1">
      <c r="A19" s="50" t="s">
        <v>382</v>
      </c>
      <c r="B19" s="187">
        <v>1544.83</v>
      </c>
      <c r="C19" s="187">
        <v>3727.62</v>
      </c>
      <c r="D19" s="187">
        <v>0</v>
      </c>
      <c r="E19" s="187">
        <v>9391.82</v>
      </c>
      <c r="F19" s="187">
        <v>1478.5</v>
      </c>
      <c r="G19" s="187">
        <v>14956.58</v>
      </c>
      <c r="H19" s="187">
        <v>1600</v>
      </c>
      <c r="I19" s="187">
        <v>0</v>
      </c>
      <c r="J19" s="187">
        <v>303.37</v>
      </c>
      <c r="K19" s="187">
        <v>606.72</v>
      </c>
      <c r="L19" s="187">
        <v>31</v>
      </c>
      <c r="M19" s="187">
        <v>70086.02</v>
      </c>
      <c r="N19" s="166">
        <f t="shared" si="1"/>
        <v>103726.46</v>
      </c>
      <c r="O19" s="187">
        <v>9300</v>
      </c>
    </row>
    <row r="20" spans="1:15" ht="12.75" customHeight="1">
      <c r="A20" s="50" t="s">
        <v>383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134.76</v>
      </c>
      <c r="K20" s="187">
        <v>0</v>
      </c>
      <c r="L20" s="187"/>
      <c r="M20" s="187"/>
      <c r="N20" s="166">
        <f t="shared" si="1"/>
        <v>134.76</v>
      </c>
      <c r="O20" s="187">
        <v>50000</v>
      </c>
    </row>
    <row r="21" spans="1:15" ht="12.75" customHeight="1">
      <c r="A21" s="50" t="s">
        <v>384</v>
      </c>
      <c r="B21" s="188">
        <f aca="true" t="shared" si="3" ref="B21:M21">B22+B23</f>
        <v>7103.11</v>
      </c>
      <c r="C21" s="188">
        <f t="shared" si="3"/>
        <v>6199</v>
      </c>
      <c r="D21" s="188">
        <f t="shared" si="3"/>
        <v>4387.54</v>
      </c>
      <c r="E21" s="188">
        <f t="shared" si="3"/>
        <v>3759.79</v>
      </c>
      <c r="F21" s="188">
        <f t="shared" si="3"/>
        <v>2270.13</v>
      </c>
      <c r="G21" s="188">
        <f t="shared" si="3"/>
        <v>1752.31</v>
      </c>
      <c r="H21" s="188">
        <f t="shared" si="3"/>
        <v>1454.21</v>
      </c>
      <c r="I21" s="188">
        <f t="shared" si="3"/>
        <v>2055.54</v>
      </c>
      <c r="J21" s="188">
        <f t="shared" si="3"/>
        <v>2420.41</v>
      </c>
      <c r="K21" s="188">
        <f t="shared" si="3"/>
        <v>2115.56</v>
      </c>
      <c r="L21" s="188">
        <f t="shared" si="3"/>
        <v>1888.05</v>
      </c>
      <c r="M21" s="188">
        <f t="shared" si="3"/>
        <v>1699.69</v>
      </c>
      <c r="N21" s="166">
        <f t="shared" si="1"/>
        <v>37105.34000000001</v>
      </c>
      <c r="O21" s="188">
        <f>O22+O23</f>
        <v>36100</v>
      </c>
    </row>
    <row r="22" spans="1:15" ht="12.75" customHeight="1">
      <c r="A22" s="50" t="s">
        <v>385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1454.21</v>
      </c>
      <c r="I22" s="187">
        <v>2055.54</v>
      </c>
      <c r="J22" s="187">
        <v>2420.41</v>
      </c>
      <c r="K22" s="187">
        <v>2115.56</v>
      </c>
      <c r="L22" s="187">
        <v>1888.05</v>
      </c>
      <c r="M22" s="187">
        <v>1699.69</v>
      </c>
      <c r="N22" s="166">
        <f t="shared" si="1"/>
        <v>11633.46</v>
      </c>
      <c r="O22" s="187">
        <v>34000</v>
      </c>
    </row>
    <row r="23" spans="1:15" ht="12.75" customHeight="1">
      <c r="A23" s="50" t="s">
        <v>386</v>
      </c>
      <c r="B23" s="187">
        <v>7103.11</v>
      </c>
      <c r="C23" s="187">
        <v>6199</v>
      </c>
      <c r="D23" s="187">
        <v>4387.54</v>
      </c>
      <c r="E23" s="187">
        <v>3759.79</v>
      </c>
      <c r="F23" s="187">
        <v>2270.13</v>
      </c>
      <c r="G23" s="187">
        <v>1752.31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/>
      <c r="N23" s="166">
        <f t="shared" si="1"/>
        <v>25471.880000000005</v>
      </c>
      <c r="O23" s="187">
        <v>2100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/>
      <c r="M24" s="187"/>
      <c r="N24" s="166">
        <f t="shared" si="1"/>
        <v>0</v>
      </c>
      <c r="O24" s="187">
        <v>1000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/>
      <c r="M25" s="187"/>
      <c r="N25" s="166">
        <f t="shared" si="1"/>
        <v>0</v>
      </c>
      <c r="O25" s="187"/>
    </row>
    <row r="26" spans="1:15" ht="12.75" customHeight="1">
      <c r="A26" s="50" t="s">
        <v>389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/>
      <c r="M26" s="187"/>
      <c r="N26" s="166">
        <f t="shared" si="1"/>
        <v>0</v>
      </c>
      <c r="O26" s="187">
        <v>22000</v>
      </c>
    </row>
    <row r="27" spans="1:15" ht="12.75" customHeight="1">
      <c r="A27" s="50" t="s">
        <v>390</v>
      </c>
      <c r="B27" s="100">
        <f aca="true" t="shared" si="4" ref="B27:M27">SUM(B28:B35)</f>
        <v>1560508.6400000001</v>
      </c>
      <c r="C27" s="100">
        <f t="shared" si="4"/>
        <v>1830079.51</v>
      </c>
      <c r="D27" s="100">
        <f t="shared" si="4"/>
        <v>2091673.4300000002</v>
      </c>
      <c r="E27" s="100">
        <f t="shared" si="4"/>
        <v>1733858.32</v>
      </c>
      <c r="F27" s="100">
        <f t="shared" si="4"/>
        <v>1359285.53</v>
      </c>
      <c r="G27" s="100">
        <f t="shared" si="4"/>
        <v>2718890.5500000003</v>
      </c>
      <c r="H27" s="100">
        <f t="shared" si="4"/>
        <v>1467999.54</v>
      </c>
      <c r="I27" s="100">
        <f t="shared" si="4"/>
        <v>2932994.07</v>
      </c>
      <c r="J27" s="100">
        <f t="shared" si="4"/>
        <v>1676984.42</v>
      </c>
      <c r="K27" s="100">
        <f t="shared" si="4"/>
        <v>1593105.1800000002</v>
      </c>
      <c r="L27" s="100">
        <f t="shared" si="4"/>
        <v>2136333.65</v>
      </c>
      <c r="M27" s="100">
        <f t="shared" si="4"/>
        <v>2853779.7800000003</v>
      </c>
      <c r="N27" s="100">
        <f t="shared" si="1"/>
        <v>23955492.619999997</v>
      </c>
      <c r="O27" s="100">
        <f>SUM(O28:O35)</f>
        <v>33135400</v>
      </c>
    </row>
    <row r="28" spans="1:15" ht="12.75" customHeight="1">
      <c r="A28" s="50" t="s">
        <v>391</v>
      </c>
      <c r="B28" s="187">
        <v>989937.09</v>
      </c>
      <c r="C28" s="187">
        <v>671565.34</v>
      </c>
      <c r="D28" s="187">
        <v>563888.68</v>
      </c>
      <c r="E28" s="187">
        <v>639046.82</v>
      </c>
      <c r="F28" s="187">
        <v>657304.42</v>
      </c>
      <c r="G28" s="187">
        <v>1264690.64</v>
      </c>
      <c r="H28" s="187">
        <v>800099.17</v>
      </c>
      <c r="I28" s="187">
        <v>1045979.86</v>
      </c>
      <c r="J28" s="187">
        <v>704353.36</v>
      </c>
      <c r="K28" s="187">
        <v>738491.55</v>
      </c>
      <c r="L28" s="187">
        <v>906308.57</v>
      </c>
      <c r="M28" s="187">
        <v>848714.87</v>
      </c>
      <c r="N28" s="166">
        <f t="shared" si="1"/>
        <v>9830380.37</v>
      </c>
      <c r="O28" s="187">
        <v>12200000</v>
      </c>
    </row>
    <row r="29" spans="1:15" ht="12.75" customHeight="1">
      <c r="A29" s="50" t="s">
        <v>392</v>
      </c>
      <c r="B29" s="187">
        <v>167007.13</v>
      </c>
      <c r="C29" s="187">
        <v>145366.97</v>
      </c>
      <c r="D29" s="187">
        <v>173742.12</v>
      </c>
      <c r="E29" s="187">
        <v>179578.69</v>
      </c>
      <c r="F29" s="187">
        <v>176824.62</v>
      </c>
      <c r="G29" s="187">
        <v>179146.84</v>
      </c>
      <c r="H29" s="187">
        <v>185982.57</v>
      </c>
      <c r="I29" s="187">
        <v>126075.01</v>
      </c>
      <c r="J29" s="187">
        <v>122392.86</v>
      </c>
      <c r="K29" s="187">
        <v>118687.24</v>
      </c>
      <c r="L29" s="187">
        <v>119072.67</v>
      </c>
      <c r="M29" s="187">
        <v>149324.05</v>
      </c>
      <c r="N29" s="166">
        <f t="shared" si="1"/>
        <v>1843200.77</v>
      </c>
      <c r="O29" s="187">
        <v>2000000</v>
      </c>
    </row>
    <row r="30" spans="1:15" ht="12.75" customHeight="1">
      <c r="A30" s="50" t="s">
        <v>393</v>
      </c>
      <c r="B30" s="187">
        <v>7097.3</v>
      </c>
      <c r="C30" s="187">
        <v>6383.62</v>
      </c>
      <c r="D30" s="187">
        <v>4186.93</v>
      </c>
      <c r="E30" s="187">
        <v>6826.3</v>
      </c>
      <c r="F30" s="187">
        <v>2062.64</v>
      </c>
      <c r="G30" s="187">
        <v>2782.1</v>
      </c>
      <c r="H30" s="187">
        <v>10219.06</v>
      </c>
      <c r="I30" s="187">
        <v>15793.71</v>
      </c>
      <c r="J30" s="187">
        <v>41497.36</v>
      </c>
      <c r="K30" s="187">
        <v>22141.28</v>
      </c>
      <c r="L30" s="187">
        <v>24102.86</v>
      </c>
      <c r="M30" s="187">
        <v>11889.91</v>
      </c>
      <c r="N30" s="166">
        <f t="shared" si="1"/>
        <v>154983.06999999998</v>
      </c>
      <c r="O30" s="187">
        <v>100000</v>
      </c>
    </row>
    <row r="31" spans="1:15" ht="12.75" customHeight="1">
      <c r="A31" s="50" t="s">
        <v>394</v>
      </c>
      <c r="B31" s="187">
        <v>304.44</v>
      </c>
      <c r="C31" s="187">
        <v>6951.75</v>
      </c>
      <c r="D31" s="187">
        <v>3027.43</v>
      </c>
      <c r="E31" s="187">
        <v>16209.92</v>
      </c>
      <c r="F31" s="187">
        <v>1498.58</v>
      </c>
      <c r="G31" s="187">
        <v>1405.69</v>
      </c>
      <c r="H31" s="187">
        <v>1472.89</v>
      </c>
      <c r="I31" s="187">
        <v>92.73</v>
      </c>
      <c r="J31" s="187"/>
      <c r="K31" s="187">
        <v>318.12</v>
      </c>
      <c r="L31" s="187">
        <v>144.22</v>
      </c>
      <c r="M31" s="187">
        <v>656.46</v>
      </c>
      <c r="N31" s="166">
        <f t="shared" si="1"/>
        <v>32082.23</v>
      </c>
      <c r="O31" s="187">
        <v>10000</v>
      </c>
    </row>
    <row r="32" spans="1:15" ht="12.75" customHeight="1">
      <c r="A32" s="50" t="s">
        <v>395</v>
      </c>
      <c r="B32" s="187">
        <v>894.11</v>
      </c>
      <c r="C32" s="187">
        <v>894.11</v>
      </c>
      <c r="D32" s="187">
        <v>894.11</v>
      </c>
      <c r="E32" s="187">
        <v>894.11</v>
      </c>
      <c r="F32" s="187">
        <v>894.11</v>
      </c>
      <c r="G32" s="187">
        <v>894.11</v>
      </c>
      <c r="H32" s="187">
        <v>954.49</v>
      </c>
      <c r="I32" s="187">
        <v>954.49</v>
      </c>
      <c r="J32" s="187">
        <v>954.49</v>
      </c>
      <c r="K32" s="187">
        <v>954.49</v>
      </c>
      <c r="L32" s="187">
        <v>954.49</v>
      </c>
      <c r="M32" s="187">
        <v>954.49</v>
      </c>
      <c r="N32" s="166">
        <f t="shared" si="1"/>
        <v>11091.599999999999</v>
      </c>
      <c r="O32" s="187">
        <v>10000</v>
      </c>
    </row>
    <row r="33" spans="1:15" ht="12.75" customHeight="1">
      <c r="A33" s="50" t="s">
        <v>396</v>
      </c>
      <c r="B33" s="187"/>
      <c r="C33" s="187"/>
      <c r="D33" s="187"/>
      <c r="E33" s="187">
        <v>0</v>
      </c>
      <c r="F33" s="187"/>
      <c r="G33" s="187"/>
      <c r="H33" s="187"/>
      <c r="I33" s="187"/>
      <c r="J33" s="187"/>
      <c r="K33" s="187"/>
      <c r="L33" s="187"/>
      <c r="M33" s="187"/>
      <c r="N33" s="166">
        <f t="shared" si="1"/>
        <v>0</v>
      </c>
      <c r="O33" s="187"/>
    </row>
    <row r="34" spans="1:15" ht="12.75" customHeight="1">
      <c r="A34" s="50" t="s">
        <v>397</v>
      </c>
      <c r="B34" s="187">
        <v>26794.6</v>
      </c>
      <c r="C34" s="187">
        <v>581803.54</v>
      </c>
      <c r="D34" s="187">
        <v>867515.92</v>
      </c>
      <c r="E34" s="187">
        <v>573983.54</v>
      </c>
      <c r="F34" s="187">
        <v>326917.2</v>
      </c>
      <c r="G34" s="187">
        <v>914076.26</v>
      </c>
      <c r="H34" s="187">
        <v>344614.67</v>
      </c>
      <c r="I34" s="187">
        <v>1503315.79</v>
      </c>
      <c r="J34" s="187">
        <v>591610.66</v>
      </c>
      <c r="K34" s="187">
        <v>321425.14</v>
      </c>
      <c r="L34" s="187">
        <v>822779.86</v>
      </c>
      <c r="M34" s="187">
        <v>637522.13</v>
      </c>
      <c r="N34" s="166">
        <f t="shared" si="1"/>
        <v>7512359.3100000005</v>
      </c>
      <c r="O34" s="187">
        <v>8080000</v>
      </c>
    </row>
    <row r="35" spans="1:15" ht="12.75" customHeight="1">
      <c r="A35" s="50" t="s">
        <v>398</v>
      </c>
      <c r="B35" s="187">
        <v>368473.97</v>
      </c>
      <c r="C35" s="187">
        <v>417114.18</v>
      </c>
      <c r="D35" s="187">
        <v>478418.24</v>
      </c>
      <c r="E35" s="187">
        <v>317318.94</v>
      </c>
      <c r="F35" s="187">
        <v>193783.96</v>
      </c>
      <c r="G35" s="187">
        <v>355894.91</v>
      </c>
      <c r="H35" s="187">
        <v>124656.69</v>
      </c>
      <c r="I35" s="187">
        <v>240782.48</v>
      </c>
      <c r="J35" s="187">
        <v>216175.69</v>
      </c>
      <c r="K35" s="187">
        <v>391087.36</v>
      </c>
      <c r="L35" s="187">
        <v>262970.98</v>
      </c>
      <c r="M35" s="187">
        <v>1204717.87</v>
      </c>
      <c r="N35" s="166">
        <f t="shared" si="1"/>
        <v>4571395.27</v>
      </c>
      <c r="O35" s="187">
        <v>10735400</v>
      </c>
    </row>
    <row r="36" spans="1:15" ht="12.75" customHeight="1">
      <c r="A36" s="53" t="s">
        <v>399</v>
      </c>
      <c r="B36" s="187"/>
      <c r="C36" s="187"/>
      <c r="D36" s="187"/>
      <c r="E36" s="187">
        <v>0</v>
      </c>
      <c r="F36" s="187"/>
      <c r="G36" s="187"/>
      <c r="H36" s="187">
        <v>40303.87</v>
      </c>
      <c r="I36" s="187"/>
      <c r="J36" s="187"/>
      <c r="K36" s="187"/>
      <c r="L36" s="187"/>
      <c r="M36" s="187"/>
      <c r="N36" s="166">
        <f t="shared" si="1"/>
        <v>40303.87</v>
      </c>
      <c r="O36" s="187">
        <v>2700</v>
      </c>
    </row>
    <row r="37" spans="1:15" ht="12.75" customHeight="1">
      <c r="A37" s="189" t="s">
        <v>400</v>
      </c>
      <c r="B37" s="176">
        <f aca="true" t="shared" si="5" ref="B37:M37">SUM(B38:B40)</f>
        <v>152070.44</v>
      </c>
      <c r="C37" s="176">
        <f t="shared" si="5"/>
        <v>164955.59</v>
      </c>
      <c r="D37" s="176">
        <f t="shared" si="5"/>
        <v>148310.41</v>
      </c>
      <c r="E37" s="176">
        <f t="shared" si="5"/>
        <v>167145.84</v>
      </c>
      <c r="F37" s="176">
        <f t="shared" si="5"/>
        <v>167304.28</v>
      </c>
      <c r="G37" s="176">
        <f t="shared" si="5"/>
        <v>212116.41</v>
      </c>
      <c r="H37" s="176">
        <f t="shared" si="5"/>
        <v>197701.76</v>
      </c>
      <c r="I37" s="176">
        <f t="shared" si="5"/>
        <v>216950.41</v>
      </c>
      <c r="J37" s="176">
        <f t="shared" si="5"/>
        <v>146250.28</v>
      </c>
      <c r="K37" s="176">
        <f t="shared" si="5"/>
        <v>151101.61</v>
      </c>
      <c r="L37" s="176">
        <f t="shared" si="5"/>
        <v>183835.39</v>
      </c>
      <c r="M37" s="176">
        <f t="shared" si="5"/>
        <v>174597.96</v>
      </c>
      <c r="N37" s="176">
        <f t="shared" si="1"/>
        <v>2082340.38</v>
      </c>
      <c r="O37" s="176">
        <f>SUM(O38:O40)</f>
        <v>2804000</v>
      </c>
    </row>
    <row r="38" spans="1:15" ht="12.75" customHeight="1">
      <c r="A38" s="50" t="s">
        <v>401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66">
        <f t="shared" si="1"/>
        <v>0</v>
      </c>
      <c r="O38" s="187"/>
    </row>
    <row r="39" spans="1:15" ht="12.75" customHeight="1">
      <c r="A39" s="50" t="s">
        <v>402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66">
        <f t="shared" si="1"/>
        <v>0</v>
      </c>
      <c r="O39" s="187"/>
    </row>
    <row r="40" spans="1:15" ht="12.75" customHeight="1">
      <c r="A40" s="50" t="s">
        <v>403</v>
      </c>
      <c r="B40" s="187">
        <v>152070.44</v>
      </c>
      <c r="C40" s="187">
        <v>164955.59</v>
      </c>
      <c r="D40" s="187">
        <v>148310.41</v>
      </c>
      <c r="E40" s="187">
        <v>167145.84</v>
      </c>
      <c r="F40" s="187">
        <v>167304.28</v>
      </c>
      <c r="G40" s="187">
        <v>212116.41</v>
      </c>
      <c r="H40" s="187">
        <v>197701.76</v>
      </c>
      <c r="I40" s="187">
        <v>216950.41</v>
      </c>
      <c r="J40" s="187">
        <v>146250.28</v>
      </c>
      <c r="K40" s="187">
        <v>151101.61</v>
      </c>
      <c r="L40" s="187">
        <v>183835.39</v>
      </c>
      <c r="M40" s="187">
        <v>174597.96</v>
      </c>
      <c r="N40" s="166">
        <f t="shared" si="1"/>
        <v>2082340.38</v>
      </c>
      <c r="O40" s="187">
        <v>2804000</v>
      </c>
    </row>
    <row r="41" spans="1:15" ht="12.75" customHeight="1">
      <c r="A41" s="190" t="s">
        <v>404</v>
      </c>
      <c r="B41" s="191">
        <f aca="true" t="shared" si="6" ref="B41:M41">+B13-B37</f>
        <v>1439137.0000000002</v>
      </c>
      <c r="C41" s="191">
        <f t="shared" si="6"/>
        <v>1700246.5899999999</v>
      </c>
      <c r="D41" s="191">
        <f t="shared" si="6"/>
        <v>1997239.5800000003</v>
      </c>
      <c r="E41" s="191">
        <f t="shared" si="6"/>
        <v>1604245.6</v>
      </c>
      <c r="F41" s="191">
        <f t="shared" si="6"/>
        <v>1220009.22</v>
      </c>
      <c r="G41" s="191">
        <f t="shared" si="6"/>
        <v>2540835.44</v>
      </c>
      <c r="H41" s="191">
        <f t="shared" si="6"/>
        <v>1356869.2600000002</v>
      </c>
      <c r="I41" s="191">
        <f t="shared" si="6"/>
        <v>2750350.4499999997</v>
      </c>
      <c r="J41" s="191">
        <f t="shared" si="6"/>
        <v>1552195.0399999998</v>
      </c>
      <c r="K41" s="191">
        <f t="shared" si="6"/>
        <v>1520970.8000000003</v>
      </c>
      <c r="L41" s="191">
        <f t="shared" si="6"/>
        <v>1976203.5799999996</v>
      </c>
      <c r="M41" s="191">
        <f t="shared" si="6"/>
        <v>2766215.33</v>
      </c>
      <c r="N41" s="191">
        <f t="shared" si="1"/>
        <v>22424517.889999993</v>
      </c>
      <c r="O41" s="191">
        <f>+O13-O37</f>
        <v>30616500</v>
      </c>
    </row>
    <row r="42" spans="1:15" ht="12.75" customHeight="1">
      <c r="A42" s="902" t="s">
        <v>159</v>
      </c>
      <c r="B42" s="902"/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10" zoomScaleNormal="11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867" t="str">
        <f>+'Informações Iniciais'!A1</f>
        <v>ESTADO DO MARANHÃO - MUNICÍPIO DE SÃO FRANCISCO DO BREJÃO</v>
      </c>
      <c r="B3" s="867"/>
      <c r="C3" s="867"/>
      <c r="D3" s="867"/>
      <c r="E3" s="867"/>
      <c r="F3" s="867"/>
    </row>
    <row r="4" spans="1:6" ht="12.75" customHeight="1">
      <c r="A4" s="868" t="s">
        <v>0</v>
      </c>
      <c r="B4" s="868"/>
      <c r="C4" s="868"/>
      <c r="D4" s="868"/>
      <c r="E4" s="868"/>
      <c r="F4" s="868"/>
    </row>
    <row r="5" spans="1:6" ht="12.75" customHeight="1">
      <c r="A5" s="919" t="s">
        <v>406</v>
      </c>
      <c r="B5" s="919"/>
      <c r="C5" s="919"/>
      <c r="D5" s="919"/>
      <c r="E5" s="919"/>
      <c r="F5" s="919"/>
    </row>
    <row r="6" spans="1:6" ht="12.75" customHeight="1">
      <c r="A6" s="868" t="s">
        <v>407</v>
      </c>
      <c r="B6" s="868"/>
      <c r="C6" s="868"/>
      <c r="D6" s="868"/>
      <c r="E6" s="868"/>
      <c r="F6" s="868"/>
    </row>
    <row r="7" spans="1:6" ht="12.75" customHeight="1">
      <c r="A7" s="867" t="str">
        <f>+'Informações Iniciais'!A5</f>
        <v>3º Bimestre de 2018</v>
      </c>
      <c r="B7" s="867"/>
      <c r="C7" s="867"/>
      <c r="D7" s="867"/>
      <c r="E7" s="867"/>
      <c r="F7" s="867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871" t="s">
        <v>409</v>
      </c>
      <c r="B10" s="920" t="s">
        <v>32</v>
      </c>
      <c r="C10" s="920"/>
      <c r="D10" s="920"/>
      <c r="E10" s="920"/>
      <c r="F10" s="921" t="s">
        <v>33</v>
      </c>
      <c r="G10" s="921"/>
      <c r="H10" s="921" t="s">
        <v>34</v>
      </c>
      <c r="I10" s="921"/>
      <c r="J10" s="921"/>
      <c r="K10" s="921"/>
    </row>
    <row r="11" spans="1:11" ht="12.75" customHeight="1">
      <c r="A11" s="871"/>
      <c r="B11" s="920"/>
      <c r="C11" s="920"/>
      <c r="D11" s="920"/>
      <c r="E11" s="920"/>
      <c r="F11" s="921"/>
      <c r="G11" s="921"/>
      <c r="H11" s="912" t="s">
        <v>410</v>
      </c>
      <c r="I11" s="912"/>
      <c r="J11" s="912" t="s">
        <v>410</v>
      </c>
      <c r="K11" s="912"/>
    </row>
    <row r="12" spans="1:159" ht="12.75" customHeight="1">
      <c r="A12" s="871"/>
      <c r="B12" s="920"/>
      <c r="C12" s="920"/>
      <c r="D12" s="920"/>
      <c r="E12" s="920"/>
      <c r="F12" s="921"/>
      <c r="G12" s="921"/>
      <c r="H12" s="922" t="str">
        <f>IF(A7="&lt;SELECIONE O PERÍODO CLICANDO NA SETA AO LADO&gt;","&lt;Exercício&gt;",RIGHT(A7,4))</f>
        <v>2018</v>
      </c>
      <c r="I12" s="922"/>
      <c r="J12" s="923">
        <f>IF(FA12=FALSE,"&lt;Exercício Anterior&gt;",H12-1)</f>
        <v>2017</v>
      </c>
      <c r="K12" s="923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24">
        <f>+B14+B23+B33+B37+B38+B39</f>
        <v>0</v>
      </c>
      <c r="C13" s="924"/>
      <c r="D13" s="924"/>
      <c r="E13" s="924"/>
      <c r="F13" s="924">
        <f>+F14+F23+F33+F37+F38+F39</f>
        <v>0</v>
      </c>
      <c r="G13" s="924"/>
      <c r="H13" s="924">
        <f>+H14+H23+H33+H37+H38+H39</f>
        <v>0</v>
      </c>
      <c r="I13" s="924"/>
      <c r="J13" s="924">
        <f>+J14+J23+J33+J37+J38+J39</f>
        <v>0</v>
      </c>
      <c r="K13" s="924"/>
    </row>
    <row r="14" spans="1:11" ht="12.75" customHeight="1">
      <c r="A14" s="197" t="s">
        <v>412</v>
      </c>
      <c r="B14" s="925">
        <f>+B15+B19</f>
        <v>0</v>
      </c>
      <c r="C14" s="925"/>
      <c r="D14" s="925"/>
      <c r="E14" s="925"/>
      <c r="F14" s="925">
        <f>+F15+F19</f>
        <v>0</v>
      </c>
      <c r="G14" s="925"/>
      <c r="H14" s="925">
        <f>+H15+H19</f>
        <v>0</v>
      </c>
      <c r="I14" s="925"/>
      <c r="J14" s="925">
        <f>+J15+J19</f>
        <v>0</v>
      </c>
      <c r="K14" s="925"/>
    </row>
    <row r="15" spans="1:11" ht="12.75" customHeight="1">
      <c r="A15" s="198" t="s">
        <v>413</v>
      </c>
      <c r="B15" s="926">
        <f>SUM(B16:E18)</f>
        <v>0</v>
      </c>
      <c r="C15" s="926"/>
      <c r="D15" s="926"/>
      <c r="E15" s="926"/>
      <c r="F15" s="926">
        <f>SUM(F16:G18)</f>
        <v>0</v>
      </c>
      <c r="G15" s="926"/>
      <c r="H15" s="926">
        <f>SUM(H16:I18)</f>
        <v>0</v>
      </c>
      <c r="I15" s="926"/>
      <c r="J15" s="926">
        <f>SUM(J16:K18)</f>
        <v>0</v>
      </c>
      <c r="K15" s="926"/>
    </row>
    <row r="16" spans="1:11" ht="12.75" customHeight="1">
      <c r="A16" s="151" t="s">
        <v>414</v>
      </c>
      <c r="B16" s="927"/>
      <c r="C16" s="927"/>
      <c r="D16" s="927"/>
      <c r="E16" s="927"/>
      <c r="F16" s="927"/>
      <c r="G16" s="927"/>
      <c r="H16" s="882"/>
      <c r="I16" s="882"/>
      <c r="J16" s="882"/>
      <c r="K16" s="882"/>
    </row>
    <row r="17" spans="1:11" ht="12.75" customHeight="1">
      <c r="A17" s="151" t="s">
        <v>415</v>
      </c>
      <c r="B17" s="927"/>
      <c r="C17" s="927"/>
      <c r="D17" s="927"/>
      <c r="E17" s="927"/>
      <c r="F17" s="927"/>
      <c r="G17" s="927"/>
      <c r="H17" s="882"/>
      <c r="I17" s="882"/>
      <c r="J17" s="882"/>
      <c r="K17" s="882"/>
    </row>
    <row r="18" spans="1:11" ht="12.75" customHeight="1">
      <c r="A18" s="151" t="s">
        <v>416</v>
      </c>
      <c r="B18" s="927"/>
      <c r="C18" s="927"/>
      <c r="D18" s="927"/>
      <c r="E18" s="927"/>
      <c r="F18" s="927"/>
      <c r="G18" s="927"/>
      <c r="H18" s="882"/>
      <c r="I18" s="882"/>
      <c r="J18" s="882"/>
      <c r="K18" s="882"/>
    </row>
    <row r="19" spans="1:11" ht="12.75" customHeight="1">
      <c r="A19" s="198" t="s">
        <v>417</v>
      </c>
      <c r="B19" s="926">
        <f>SUM(B20:E22)</f>
        <v>0</v>
      </c>
      <c r="C19" s="926"/>
      <c r="D19" s="926"/>
      <c r="E19" s="926"/>
      <c r="F19" s="926">
        <f>SUM(F20:G22)</f>
        <v>0</v>
      </c>
      <c r="G19" s="926"/>
      <c r="H19" s="926">
        <f>SUM(H20:I22)</f>
        <v>0</v>
      </c>
      <c r="I19" s="926"/>
      <c r="J19" s="926">
        <f>SUM(J20:K22)</f>
        <v>0</v>
      </c>
      <c r="K19" s="926"/>
    </row>
    <row r="20" spans="1:11" ht="12.75" customHeight="1">
      <c r="A20" s="151" t="s">
        <v>418</v>
      </c>
      <c r="B20" s="927"/>
      <c r="C20" s="927"/>
      <c r="D20" s="927"/>
      <c r="E20" s="927"/>
      <c r="F20" s="927"/>
      <c r="G20" s="927"/>
      <c r="H20" s="882"/>
      <c r="I20" s="882"/>
      <c r="J20" s="882"/>
      <c r="K20" s="882"/>
    </row>
    <row r="21" spans="1:11" ht="12.75" customHeight="1">
      <c r="A21" s="151" t="s">
        <v>419</v>
      </c>
      <c r="B21" s="927"/>
      <c r="C21" s="927"/>
      <c r="D21" s="927"/>
      <c r="E21" s="927"/>
      <c r="F21" s="927"/>
      <c r="G21" s="927"/>
      <c r="H21" s="882"/>
      <c r="I21" s="882"/>
      <c r="J21" s="882"/>
      <c r="K21" s="882"/>
    </row>
    <row r="22" spans="1:11" ht="12.75" customHeight="1">
      <c r="A22" s="151" t="s">
        <v>416</v>
      </c>
      <c r="B22" s="927"/>
      <c r="C22" s="927"/>
      <c r="D22" s="927"/>
      <c r="E22" s="927"/>
      <c r="F22" s="927"/>
      <c r="G22" s="927"/>
      <c r="H22" s="882"/>
      <c r="I22" s="882"/>
      <c r="J22" s="882"/>
      <c r="K22" s="882"/>
    </row>
    <row r="23" spans="1:11" ht="12.75" customHeight="1">
      <c r="A23" s="197" t="s">
        <v>420</v>
      </c>
      <c r="B23" s="925">
        <f>+B24+B28+B32</f>
        <v>0</v>
      </c>
      <c r="C23" s="925"/>
      <c r="D23" s="925"/>
      <c r="E23" s="925"/>
      <c r="F23" s="925">
        <f>+F24+F28+F32</f>
        <v>0</v>
      </c>
      <c r="G23" s="925"/>
      <c r="H23" s="925">
        <f>+H24+H28+H32</f>
        <v>0</v>
      </c>
      <c r="I23" s="925"/>
      <c r="J23" s="925">
        <f>+J24+J28+J32</f>
        <v>0</v>
      </c>
      <c r="K23" s="925"/>
    </row>
    <row r="24" spans="1:11" ht="12.75" customHeight="1">
      <c r="A24" s="198" t="s">
        <v>413</v>
      </c>
      <c r="B24" s="926">
        <f>SUM(B25:E27)</f>
        <v>0</v>
      </c>
      <c r="C24" s="926"/>
      <c r="D24" s="926"/>
      <c r="E24" s="926"/>
      <c r="F24" s="926">
        <f>SUM(F25:G27)</f>
        <v>0</v>
      </c>
      <c r="G24" s="926"/>
      <c r="H24" s="926">
        <f>SUM(H25:I27)</f>
        <v>0</v>
      </c>
      <c r="I24" s="926"/>
      <c r="J24" s="926">
        <f>SUM(J25:K27)</f>
        <v>0</v>
      </c>
      <c r="K24" s="926"/>
    </row>
    <row r="25" spans="1:11" ht="12.75" customHeight="1">
      <c r="A25" s="151" t="s">
        <v>414</v>
      </c>
      <c r="B25" s="927"/>
      <c r="C25" s="927"/>
      <c r="D25" s="927"/>
      <c r="E25" s="927"/>
      <c r="F25" s="927"/>
      <c r="G25" s="927"/>
      <c r="H25" s="882"/>
      <c r="I25" s="882"/>
      <c r="J25" s="882"/>
      <c r="K25" s="882"/>
    </row>
    <row r="26" spans="1:11" ht="12.75" customHeight="1">
      <c r="A26" s="151" t="s">
        <v>415</v>
      </c>
      <c r="B26" s="927"/>
      <c r="C26" s="927"/>
      <c r="D26" s="927"/>
      <c r="E26" s="927"/>
      <c r="F26" s="927"/>
      <c r="G26" s="927"/>
      <c r="H26" s="882"/>
      <c r="I26" s="882"/>
      <c r="J26" s="882"/>
      <c r="K26" s="882"/>
    </row>
    <row r="27" spans="1:11" ht="12.75" customHeight="1">
      <c r="A27" s="151" t="s">
        <v>416</v>
      </c>
      <c r="B27" s="927"/>
      <c r="C27" s="927"/>
      <c r="D27" s="927"/>
      <c r="E27" s="927"/>
      <c r="F27" s="927"/>
      <c r="G27" s="927"/>
      <c r="H27" s="882"/>
      <c r="I27" s="882"/>
      <c r="J27" s="882"/>
      <c r="K27" s="882"/>
    </row>
    <row r="28" spans="1:11" ht="12.75" customHeight="1">
      <c r="A28" s="198" t="s">
        <v>417</v>
      </c>
      <c r="B28" s="926">
        <f>SUM(B29:E31)</f>
        <v>0</v>
      </c>
      <c r="C28" s="926"/>
      <c r="D28" s="926"/>
      <c r="E28" s="926"/>
      <c r="F28" s="926">
        <f>SUM(F29:G31)</f>
        <v>0</v>
      </c>
      <c r="G28" s="926"/>
      <c r="H28" s="926">
        <f>SUM(H29:I31)</f>
        <v>0</v>
      </c>
      <c r="I28" s="926"/>
      <c r="J28" s="926">
        <f>SUM(J29:K31)</f>
        <v>0</v>
      </c>
      <c r="K28" s="926"/>
    </row>
    <row r="29" spans="1:11" ht="12.75" customHeight="1">
      <c r="A29" s="151" t="s">
        <v>418</v>
      </c>
      <c r="B29" s="927"/>
      <c r="C29" s="927"/>
      <c r="D29" s="927"/>
      <c r="E29" s="927"/>
      <c r="F29" s="927"/>
      <c r="G29" s="927"/>
      <c r="H29" s="882"/>
      <c r="I29" s="882"/>
      <c r="J29" s="882"/>
      <c r="K29" s="882"/>
    </row>
    <row r="30" spans="1:11" ht="12.75" customHeight="1">
      <c r="A30" s="151" t="s">
        <v>419</v>
      </c>
      <c r="B30" s="927"/>
      <c r="C30" s="927"/>
      <c r="D30" s="927"/>
      <c r="E30" s="927"/>
      <c r="F30" s="927"/>
      <c r="G30" s="927"/>
      <c r="H30" s="882"/>
      <c r="I30" s="882"/>
      <c r="J30" s="882"/>
      <c r="K30" s="882"/>
    </row>
    <row r="31" spans="1:11" ht="12.75" customHeight="1">
      <c r="A31" s="151" t="s">
        <v>416</v>
      </c>
      <c r="B31" s="927"/>
      <c r="C31" s="927"/>
      <c r="D31" s="927"/>
      <c r="E31" s="927"/>
      <c r="F31" s="927"/>
      <c r="G31" s="927"/>
      <c r="H31" s="882"/>
      <c r="I31" s="882"/>
      <c r="J31" s="882"/>
      <c r="K31" s="882"/>
    </row>
    <row r="32" spans="1:11" ht="12.75" customHeight="1">
      <c r="A32" s="198" t="s">
        <v>421</v>
      </c>
      <c r="B32" s="927"/>
      <c r="C32" s="927"/>
      <c r="D32" s="927"/>
      <c r="E32" s="927"/>
      <c r="F32" s="927"/>
      <c r="G32" s="927"/>
      <c r="H32" s="927"/>
      <c r="I32" s="927"/>
      <c r="J32" s="927"/>
      <c r="K32" s="927"/>
    </row>
    <row r="33" spans="1:11" ht="12.75" customHeight="1">
      <c r="A33" s="197" t="s">
        <v>422</v>
      </c>
      <c r="B33" s="925">
        <f>SUM(B34:E36)</f>
        <v>0</v>
      </c>
      <c r="C33" s="925"/>
      <c r="D33" s="925"/>
      <c r="E33" s="925"/>
      <c r="F33" s="925">
        <f>SUM(F34:G36)</f>
        <v>0</v>
      </c>
      <c r="G33" s="925"/>
      <c r="H33" s="925">
        <f>SUM(H34:I36)</f>
        <v>0</v>
      </c>
      <c r="I33" s="925"/>
      <c r="J33" s="925">
        <f>SUM(J34:K36)</f>
        <v>0</v>
      </c>
      <c r="K33" s="925"/>
    </row>
    <row r="34" spans="1:11" ht="12.75" customHeight="1">
      <c r="A34" s="151" t="s">
        <v>423</v>
      </c>
      <c r="B34" s="927"/>
      <c r="C34" s="927"/>
      <c r="D34" s="927"/>
      <c r="E34" s="927"/>
      <c r="F34" s="927"/>
      <c r="G34" s="927"/>
      <c r="H34" s="882"/>
      <c r="I34" s="882"/>
      <c r="J34" s="882"/>
      <c r="K34" s="882"/>
    </row>
    <row r="35" spans="1:11" ht="12.75" customHeight="1">
      <c r="A35" s="151" t="s">
        <v>424</v>
      </c>
      <c r="B35" s="927"/>
      <c r="C35" s="927"/>
      <c r="D35" s="927"/>
      <c r="E35" s="927"/>
      <c r="F35" s="927"/>
      <c r="G35" s="927"/>
      <c r="H35" s="882"/>
      <c r="I35" s="882"/>
      <c r="J35" s="882"/>
      <c r="K35" s="882"/>
    </row>
    <row r="36" spans="1:11" ht="12.75" customHeight="1">
      <c r="A36" s="151" t="s">
        <v>425</v>
      </c>
      <c r="B36" s="927"/>
      <c r="C36" s="927"/>
      <c r="D36" s="927"/>
      <c r="E36" s="927"/>
      <c r="F36" s="927"/>
      <c r="G36" s="927"/>
      <c r="H36" s="882"/>
      <c r="I36" s="882"/>
      <c r="J36" s="882"/>
      <c r="K36" s="882"/>
    </row>
    <row r="37" spans="1:11" ht="12.75" customHeight="1">
      <c r="A37" s="197" t="s">
        <v>426</v>
      </c>
      <c r="B37" s="927"/>
      <c r="C37" s="927"/>
      <c r="D37" s="927"/>
      <c r="E37" s="927"/>
      <c r="F37" s="927"/>
      <c r="G37" s="927"/>
      <c r="H37" s="927"/>
      <c r="I37" s="927"/>
      <c r="J37" s="927"/>
      <c r="K37" s="927"/>
    </row>
    <row r="38" spans="1:11" ht="12.75" customHeight="1" hidden="1">
      <c r="A38" s="197" t="s">
        <v>427</v>
      </c>
      <c r="B38" s="927"/>
      <c r="C38" s="927"/>
      <c r="D38" s="927"/>
      <c r="E38" s="927"/>
      <c r="F38" s="927"/>
      <c r="G38" s="927"/>
      <c r="H38" s="927"/>
      <c r="I38" s="927"/>
      <c r="J38" s="927"/>
      <c r="K38" s="927"/>
    </row>
    <row r="39" spans="1:11" ht="12.75" customHeight="1">
      <c r="A39" s="197" t="s">
        <v>428</v>
      </c>
      <c r="B39" s="925">
        <f>SUM(B40:E42)</f>
        <v>0</v>
      </c>
      <c r="C39" s="925"/>
      <c r="D39" s="925"/>
      <c r="E39" s="925"/>
      <c r="F39" s="925">
        <f>SUM(F40:G42)</f>
        <v>0</v>
      </c>
      <c r="G39" s="925"/>
      <c r="H39" s="925">
        <f>SUM(H40:I42)</f>
        <v>0</v>
      </c>
      <c r="I39" s="925"/>
      <c r="J39" s="925">
        <f>SUM(J40:K42)</f>
        <v>0</v>
      </c>
      <c r="K39" s="925"/>
    </row>
    <row r="40" spans="1:11" ht="12.75" customHeight="1">
      <c r="A40" s="151" t="s">
        <v>429</v>
      </c>
      <c r="B40" s="927"/>
      <c r="C40" s="927"/>
      <c r="D40" s="927"/>
      <c r="E40" s="927"/>
      <c r="F40" s="927"/>
      <c r="G40" s="927"/>
      <c r="H40" s="882"/>
      <c r="I40" s="882"/>
      <c r="J40" s="882"/>
      <c r="K40" s="882"/>
    </row>
    <row r="41" spans="1:11" ht="12.75" customHeight="1">
      <c r="A41" s="150" t="s">
        <v>430</v>
      </c>
      <c r="B41" s="927"/>
      <c r="C41" s="927"/>
      <c r="D41" s="927"/>
      <c r="E41" s="927"/>
      <c r="F41" s="927"/>
      <c r="G41" s="927"/>
      <c r="H41" s="882"/>
      <c r="I41" s="882"/>
      <c r="J41" s="882"/>
      <c r="K41" s="882"/>
    </row>
    <row r="42" spans="1:11" ht="12.75" customHeight="1">
      <c r="A42" s="151" t="s">
        <v>85</v>
      </c>
      <c r="B42" s="927"/>
      <c r="C42" s="927"/>
      <c r="D42" s="927"/>
      <c r="E42" s="927"/>
      <c r="F42" s="927"/>
      <c r="G42" s="927"/>
      <c r="H42" s="882"/>
      <c r="I42" s="882"/>
      <c r="J42" s="882"/>
      <c r="K42" s="882"/>
    </row>
    <row r="43" spans="1:11" ht="12.75" customHeight="1">
      <c r="A43" s="199" t="s">
        <v>431</v>
      </c>
      <c r="B43" s="924">
        <f>SUM(B44:E46)</f>
        <v>0</v>
      </c>
      <c r="C43" s="924"/>
      <c r="D43" s="924"/>
      <c r="E43" s="924"/>
      <c r="F43" s="924">
        <f>SUM(F44:G46)</f>
        <v>0</v>
      </c>
      <c r="G43" s="924"/>
      <c r="H43" s="924">
        <f>SUM(H44:I46)</f>
        <v>0</v>
      </c>
      <c r="I43" s="924"/>
      <c r="J43" s="924">
        <f>SUM(J44:K46)</f>
        <v>0</v>
      </c>
      <c r="K43" s="924"/>
    </row>
    <row r="44" spans="1:11" ht="12.75" customHeight="1">
      <c r="A44" s="151" t="s">
        <v>432</v>
      </c>
      <c r="B44" s="927"/>
      <c r="C44" s="927"/>
      <c r="D44" s="927"/>
      <c r="E44" s="927"/>
      <c r="F44" s="927"/>
      <c r="G44" s="927"/>
      <c r="H44" s="882"/>
      <c r="I44" s="882"/>
      <c r="J44" s="882"/>
      <c r="K44" s="882"/>
    </row>
    <row r="45" spans="1:11" ht="12.75" customHeight="1">
      <c r="A45" s="151" t="s">
        <v>433</v>
      </c>
      <c r="B45" s="927"/>
      <c r="C45" s="927"/>
      <c r="D45" s="927"/>
      <c r="E45" s="927"/>
      <c r="F45" s="927"/>
      <c r="G45" s="927"/>
      <c r="H45" s="882"/>
      <c r="I45" s="882"/>
      <c r="J45" s="882"/>
      <c r="K45" s="882"/>
    </row>
    <row r="46" spans="1:11" ht="12.75" customHeight="1">
      <c r="A46" s="151" t="s">
        <v>434</v>
      </c>
      <c r="B46" s="927"/>
      <c r="C46" s="927"/>
      <c r="D46" s="927"/>
      <c r="E46" s="927"/>
      <c r="F46" s="927"/>
      <c r="G46" s="927"/>
      <c r="H46" s="882"/>
      <c r="I46" s="882"/>
      <c r="J46" s="882"/>
      <c r="K46" s="882"/>
    </row>
    <row r="47" spans="1:14" ht="12.75" customHeight="1">
      <c r="A47" s="200" t="s">
        <v>435</v>
      </c>
      <c r="B47" s="928">
        <f>+B43+B13</f>
        <v>0</v>
      </c>
      <c r="C47" s="928"/>
      <c r="D47" s="928"/>
      <c r="E47" s="928"/>
      <c r="F47" s="929">
        <f>+F43+F13</f>
        <v>0</v>
      </c>
      <c r="G47" s="929"/>
      <c r="H47" s="929">
        <f>+H43+H13</f>
        <v>0</v>
      </c>
      <c r="I47" s="929"/>
      <c r="J47" s="929">
        <f>+J43+J13</f>
        <v>0</v>
      </c>
      <c r="K47" s="929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30" t="s">
        <v>437</v>
      </c>
      <c r="B49" s="921" t="s">
        <v>123</v>
      </c>
      <c r="C49" s="921"/>
      <c r="D49" s="931" t="s">
        <v>124</v>
      </c>
      <c r="E49" s="931"/>
      <c r="F49" s="921" t="s">
        <v>125</v>
      </c>
      <c r="G49" s="921"/>
      <c r="H49" s="921" t="s">
        <v>126</v>
      </c>
      <c r="I49" s="921"/>
      <c r="J49" s="921" t="s">
        <v>194</v>
      </c>
      <c r="K49" s="921"/>
    </row>
    <row r="50" spans="1:11" ht="17.25" customHeight="1">
      <c r="A50" s="930"/>
      <c r="B50" s="921"/>
      <c r="C50" s="921"/>
      <c r="D50" s="931"/>
      <c r="E50" s="931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30"/>
      <c r="B51" s="921"/>
      <c r="C51" s="921"/>
      <c r="D51" s="931"/>
      <c r="E51" s="931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32">
        <f>SUM(B53:C54)</f>
        <v>0</v>
      </c>
      <c r="C52" s="932"/>
      <c r="D52" s="932">
        <f>SUM(D53:E54)</f>
        <v>0</v>
      </c>
      <c r="E52" s="932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83"/>
      <c r="C53" s="883"/>
      <c r="D53" s="883"/>
      <c r="E53" s="883"/>
      <c r="F53" s="208"/>
      <c r="G53" s="208"/>
      <c r="H53" s="208"/>
      <c r="I53" s="208"/>
      <c r="J53" s="208"/>
      <c r="K53" s="209"/>
    </row>
    <row r="54" spans="1:11" ht="12.75" customHeight="1">
      <c r="A54" s="207" t="s">
        <v>441</v>
      </c>
      <c r="B54" s="883"/>
      <c r="C54" s="883"/>
      <c r="D54" s="883"/>
      <c r="E54" s="883"/>
      <c r="F54" s="208"/>
      <c r="G54" s="208"/>
      <c r="H54" s="208"/>
      <c r="I54" s="208"/>
      <c r="J54" s="208"/>
      <c r="K54" s="209"/>
    </row>
    <row r="55" spans="1:11" ht="12.75" customHeight="1">
      <c r="A55" s="210" t="s">
        <v>442</v>
      </c>
      <c r="B55" s="932">
        <f>+B56+B60+B64</f>
        <v>0</v>
      </c>
      <c r="C55" s="932"/>
      <c r="D55" s="932">
        <f>+D56+D60+D64</f>
        <v>0</v>
      </c>
      <c r="E55" s="932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33">
        <f>SUM(B57:C59)</f>
        <v>0</v>
      </c>
      <c r="C56" s="933"/>
      <c r="D56" s="933">
        <f>SUM(D57:E59)</f>
        <v>0</v>
      </c>
      <c r="E56" s="93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83"/>
      <c r="C57" s="883"/>
      <c r="D57" s="883"/>
      <c r="E57" s="883"/>
      <c r="F57" s="215"/>
      <c r="G57" s="215"/>
      <c r="H57" s="215"/>
      <c r="I57" s="215"/>
      <c r="J57" s="215"/>
      <c r="K57" s="209"/>
    </row>
    <row r="58" spans="1:11" ht="12.75" customHeight="1">
      <c r="A58" s="207" t="s">
        <v>445</v>
      </c>
      <c r="B58" s="883"/>
      <c r="C58" s="883"/>
      <c r="D58" s="883"/>
      <c r="E58" s="883"/>
      <c r="F58" s="215"/>
      <c r="G58" s="215"/>
      <c r="H58" s="215"/>
      <c r="I58" s="215"/>
      <c r="J58" s="215"/>
      <c r="K58" s="209"/>
    </row>
    <row r="59" spans="1:11" ht="12.75" customHeight="1">
      <c r="A59" s="207" t="s">
        <v>446</v>
      </c>
      <c r="B59" s="883"/>
      <c r="C59" s="883"/>
      <c r="D59" s="883"/>
      <c r="E59" s="883"/>
      <c r="F59" s="215"/>
      <c r="G59" s="215"/>
      <c r="H59" s="215"/>
      <c r="I59" s="215"/>
      <c r="J59" s="215"/>
      <c r="K59" s="209"/>
    </row>
    <row r="60" spans="1:11" ht="12.75" customHeight="1">
      <c r="A60" s="212" t="s">
        <v>447</v>
      </c>
      <c r="B60" s="933">
        <f>SUM(B61:C63)</f>
        <v>0</v>
      </c>
      <c r="C60" s="933"/>
      <c r="D60" s="933">
        <f>SUM(D61:E63)</f>
        <v>0</v>
      </c>
      <c r="E60" s="93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83"/>
      <c r="C61" s="883"/>
      <c r="D61" s="883"/>
      <c r="E61" s="883"/>
      <c r="F61" s="215"/>
      <c r="G61" s="215"/>
      <c r="H61" s="215"/>
      <c r="I61" s="215"/>
      <c r="J61" s="215"/>
      <c r="K61" s="209"/>
    </row>
    <row r="62" spans="1:11" ht="12.75" customHeight="1">
      <c r="A62" s="207" t="s">
        <v>445</v>
      </c>
      <c r="B62" s="883"/>
      <c r="C62" s="883"/>
      <c r="D62" s="883"/>
      <c r="E62" s="883"/>
      <c r="F62" s="215"/>
      <c r="G62" s="215"/>
      <c r="H62" s="215"/>
      <c r="I62" s="215"/>
      <c r="J62" s="215"/>
      <c r="K62" s="209"/>
    </row>
    <row r="63" spans="1:11" ht="12.75" customHeight="1">
      <c r="A63" s="207" t="s">
        <v>446</v>
      </c>
      <c r="B63" s="883"/>
      <c r="C63" s="883"/>
      <c r="D63" s="883"/>
      <c r="E63" s="883"/>
      <c r="F63" s="215"/>
      <c r="G63" s="215"/>
      <c r="H63" s="215"/>
      <c r="I63" s="215"/>
      <c r="J63" s="215"/>
      <c r="K63" s="209"/>
    </row>
    <row r="64" spans="1:11" ht="12.75" customHeight="1">
      <c r="A64" s="212" t="s">
        <v>449</v>
      </c>
      <c r="B64" s="933">
        <f>SUM(B65:C66)</f>
        <v>0</v>
      </c>
      <c r="C64" s="933"/>
      <c r="D64" s="933">
        <f>SUM(D65:E66)</f>
        <v>0</v>
      </c>
      <c r="E64" s="93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83"/>
      <c r="C65" s="883"/>
      <c r="D65" s="883"/>
      <c r="E65" s="883"/>
      <c r="F65" s="215"/>
      <c r="G65" s="215"/>
      <c r="H65" s="215"/>
      <c r="I65" s="215"/>
      <c r="J65" s="215"/>
      <c r="K65" s="209"/>
    </row>
    <row r="66" spans="1:11" ht="12.75" customHeight="1">
      <c r="A66" s="207" t="s">
        <v>451</v>
      </c>
      <c r="B66" s="883"/>
      <c r="C66" s="883"/>
      <c r="D66" s="883"/>
      <c r="E66" s="883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34">
        <f>+B55+B52</f>
        <v>0</v>
      </c>
      <c r="C67" s="934"/>
      <c r="D67" s="934">
        <f>+D55+D52</f>
        <v>0</v>
      </c>
      <c r="E67" s="934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34">
        <f>+B47-B67</f>
        <v>0</v>
      </c>
      <c r="C69" s="934"/>
      <c r="D69" s="935">
        <f>+F47-D67</f>
        <v>0</v>
      </c>
      <c r="E69" s="935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34" t="s">
        <v>455</v>
      </c>
      <c r="C71" s="934"/>
      <c r="D71" s="934"/>
      <c r="E71" s="934"/>
      <c r="F71" s="934"/>
      <c r="G71" s="934"/>
      <c r="H71" s="934"/>
      <c r="I71" s="934"/>
      <c r="J71" s="934"/>
      <c r="K71" s="934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3"/>
      <c r="C72" s="893"/>
      <c r="D72" s="893"/>
      <c r="E72" s="893"/>
      <c r="F72" s="893"/>
      <c r="G72" s="893"/>
      <c r="H72" s="893"/>
      <c r="I72" s="893"/>
      <c r="J72" s="893"/>
      <c r="K72" s="893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904" t="s">
        <v>455</v>
      </c>
      <c r="C74" s="904"/>
      <c r="D74" s="904"/>
      <c r="E74" s="904"/>
      <c r="F74" s="904"/>
      <c r="G74" s="904"/>
      <c r="H74" s="904"/>
      <c r="I74" s="904"/>
      <c r="J74" s="904"/>
      <c r="K74" s="904"/>
    </row>
    <row r="75" spans="1:11" ht="12.75" customHeight="1">
      <c r="A75" s="233" t="s">
        <v>456</v>
      </c>
      <c r="B75" s="936"/>
      <c r="C75" s="936"/>
      <c r="D75" s="936"/>
      <c r="E75" s="936"/>
      <c r="F75" s="936"/>
      <c r="G75" s="936"/>
      <c r="H75" s="936"/>
      <c r="I75" s="936"/>
      <c r="J75" s="936"/>
      <c r="K75" s="936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0" t="s">
        <v>458</v>
      </c>
      <c r="B77" s="911" t="s">
        <v>459</v>
      </c>
      <c r="C77" s="911"/>
      <c r="D77" s="911"/>
      <c r="E77" s="911"/>
      <c r="F77" s="911"/>
      <c r="G77" s="911"/>
      <c r="H77" s="911"/>
      <c r="I77" s="911"/>
      <c r="J77" s="911"/>
      <c r="K77" s="911"/>
    </row>
    <row r="78" spans="1:11" ht="11.25" customHeight="1">
      <c r="A78" s="910"/>
      <c r="B78" s="911"/>
      <c r="C78" s="911"/>
      <c r="D78" s="911"/>
      <c r="E78" s="911"/>
      <c r="F78" s="911"/>
      <c r="G78" s="911"/>
      <c r="H78" s="911"/>
      <c r="I78" s="911"/>
      <c r="J78" s="911"/>
      <c r="K78" s="911"/>
    </row>
    <row r="79" spans="1:11" ht="11.25" customHeight="1">
      <c r="A79" s="910"/>
      <c r="B79" s="911"/>
      <c r="C79" s="911"/>
      <c r="D79" s="911"/>
      <c r="E79" s="911"/>
      <c r="F79" s="911"/>
      <c r="G79" s="911"/>
      <c r="H79" s="911"/>
      <c r="I79" s="911"/>
      <c r="J79" s="911"/>
      <c r="K79" s="911"/>
    </row>
    <row r="80" spans="1:11" ht="12.75" customHeight="1">
      <c r="A80" s="236" t="s">
        <v>460</v>
      </c>
      <c r="B80" s="937"/>
      <c r="C80" s="937"/>
      <c r="D80" s="937"/>
      <c r="E80" s="937"/>
      <c r="F80" s="937"/>
      <c r="G80" s="937"/>
      <c r="H80" s="937"/>
      <c r="I80" s="937"/>
      <c r="J80" s="937"/>
      <c r="K80" s="937"/>
    </row>
    <row r="81" spans="1:11" ht="12.75" customHeight="1">
      <c r="A81" s="236" t="s">
        <v>461</v>
      </c>
      <c r="B81" s="938"/>
      <c r="C81" s="938"/>
      <c r="D81" s="938"/>
      <c r="E81" s="938"/>
      <c r="F81" s="938"/>
      <c r="G81" s="938"/>
      <c r="H81" s="938"/>
      <c r="I81" s="938"/>
      <c r="J81" s="938"/>
      <c r="K81" s="938"/>
    </row>
    <row r="82" spans="1:11" ht="12.75" customHeight="1">
      <c r="A82" s="236" t="s">
        <v>462</v>
      </c>
      <c r="B82" s="938"/>
      <c r="C82" s="938"/>
      <c r="D82" s="938"/>
      <c r="E82" s="938"/>
      <c r="F82" s="938"/>
      <c r="G82" s="938"/>
      <c r="H82" s="938"/>
      <c r="I82" s="938"/>
      <c r="J82" s="938"/>
      <c r="K82" s="938"/>
    </row>
    <row r="83" spans="1:11" ht="12.75" customHeight="1">
      <c r="A83" s="237" t="s">
        <v>463</v>
      </c>
      <c r="B83" s="939"/>
      <c r="C83" s="939"/>
      <c r="D83" s="939"/>
      <c r="E83" s="939"/>
      <c r="F83" s="939"/>
      <c r="G83" s="939"/>
      <c r="H83" s="939"/>
      <c r="I83" s="939"/>
      <c r="J83" s="939"/>
      <c r="K83" s="939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0" t="s">
        <v>464</v>
      </c>
      <c r="B85" s="941" t="s">
        <v>465</v>
      </c>
      <c r="C85" s="941"/>
      <c r="D85" s="941"/>
      <c r="E85" s="941"/>
      <c r="F85" s="941"/>
      <c r="G85" s="941"/>
      <c r="H85" s="941"/>
      <c r="I85" s="941"/>
      <c r="J85" s="941"/>
      <c r="K85" s="941"/>
    </row>
    <row r="86" spans="1:11" ht="12.75" customHeight="1">
      <c r="A86" s="940"/>
      <c r="B86" s="921" t="str">
        <f>+F51</f>
        <v>2018</v>
      </c>
      <c r="C86" s="921"/>
      <c r="D86" s="921"/>
      <c r="E86" s="921"/>
      <c r="F86" s="921"/>
      <c r="G86" s="921"/>
      <c r="H86" s="921">
        <f>+G51</f>
        <v>2017</v>
      </c>
      <c r="I86" s="921"/>
      <c r="J86" s="921"/>
      <c r="K86" s="921"/>
    </row>
    <row r="87" spans="1:11" ht="12.75" customHeight="1">
      <c r="A87" s="239" t="s">
        <v>466</v>
      </c>
      <c r="B87" s="942"/>
      <c r="C87" s="942"/>
      <c r="D87" s="942"/>
      <c r="E87" s="942"/>
      <c r="F87" s="942"/>
      <c r="G87" s="942"/>
      <c r="H87" s="943"/>
      <c r="I87" s="943"/>
      <c r="J87" s="943"/>
      <c r="K87" s="943"/>
    </row>
    <row r="88" spans="1:11" ht="12.75" customHeight="1">
      <c r="A88" s="240" t="s">
        <v>467</v>
      </c>
      <c r="B88" s="927"/>
      <c r="C88" s="927"/>
      <c r="D88" s="927"/>
      <c r="E88" s="927"/>
      <c r="F88" s="927"/>
      <c r="G88" s="927"/>
      <c r="H88" s="944"/>
      <c r="I88" s="944"/>
      <c r="J88" s="944"/>
      <c r="K88" s="944"/>
    </row>
    <row r="89" spans="1:11" ht="12.75" customHeight="1">
      <c r="A89" s="241" t="s">
        <v>468</v>
      </c>
      <c r="B89" s="945"/>
      <c r="C89" s="945"/>
      <c r="D89" s="945"/>
      <c r="E89" s="945"/>
      <c r="F89" s="945"/>
      <c r="G89" s="945"/>
      <c r="H89" s="946"/>
      <c r="I89" s="946"/>
      <c r="J89" s="946"/>
      <c r="K89" s="946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47" t="s">
        <v>469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</row>
    <row r="92" spans="1:11" ht="12.75" customHeight="1">
      <c r="A92" s="948" t="s">
        <v>470</v>
      </c>
      <c r="B92" s="949" t="s">
        <v>32</v>
      </c>
      <c r="C92" s="949"/>
      <c r="D92" s="949"/>
      <c r="E92" s="949"/>
      <c r="F92" s="923" t="s">
        <v>33</v>
      </c>
      <c r="G92" s="923"/>
      <c r="H92" s="923" t="s">
        <v>34</v>
      </c>
      <c r="I92" s="923"/>
      <c r="J92" s="923"/>
      <c r="K92" s="923"/>
    </row>
    <row r="93" spans="1:11" ht="12.75" customHeight="1">
      <c r="A93" s="948"/>
      <c r="B93" s="949"/>
      <c r="C93" s="949"/>
      <c r="D93" s="949"/>
      <c r="E93" s="949"/>
      <c r="F93" s="923"/>
      <c r="G93" s="923"/>
      <c r="H93" s="912" t="s">
        <v>410</v>
      </c>
      <c r="I93" s="912"/>
      <c r="J93" s="912" t="s">
        <v>410</v>
      </c>
      <c r="K93" s="912"/>
    </row>
    <row r="94" spans="1:11" ht="12.75" customHeight="1">
      <c r="A94" s="948"/>
      <c r="B94" s="949"/>
      <c r="C94" s="949"/>
      <c r="D94" s="949"/>
      <c r="E94" s="949"/>
      <c r="F94" s="923"/>
      <c r="G94" s="923"/>
      <c r="H94" s="923" t="str">
        <f>+F51</f>
        <v>2018</v>
      </c>
      <c r="I94" s="923"/>
      <c r="J94" s="950">
        <f>+G51</f>
        <v>2017</v>
      </c>
      <c r="K94" s="950"/>
    </row>
    <row r="95" spans="1:11" ht="12.75" customHeight="1">
      <c r="A95" s="244" t="s">
        <v>471</v>
      </c>
      <c r="B95" s="951">
        <f>+B96+B105+B115+B119+B120</f>
        <v>0</v>
      </c>
      <c r="C95" s="951"/>
      <c r="D95" s="951"/>
      <c r="E95" s="951"/>
      <c r="F95" s="951">
        <f>+F96+F105+F115+F119+F120</f>
        <v>0</v>
      </c>
      <c r="G95" s="951"/>
      <c r="H95" s="951">
        <f>+H96+H105+H115+H119+H120</f>
        <v>0</v>
      </c>
      <c r="I95" s="951"/>
      <c r="J95" s="951">
        <f>+J96+J105+J115+J119+J120</f>
        <v>0</v>
      </c>
      <c r="K95" s="951"/>
    </row>
    <row r="96" spans="1:11" ht="12.75" customHeight="1">
      <c r="A96" s="197" t="s">
        <v>472</v>
      </c>
      <c r="B96" s="925">
        <f>+B97+B101</f>
        <v>0</v>
      </c>
      <c r="C96" s="925"/>
      <c r="D96" s="925"/>
      <c r="E96" s="925"/>
      <c r="F96" s="925">
        <f>+F97+F101</f>
        <v>0</v>
      </c>
      <c r="G96" s="925"/>
      <c r="H96" s="925">
        <f>+H97+H101</f>
        <v>0</v>
      </c>
      <c r="I96" s="925"/>
      <c r="J96" s="925">
        <f>+J97+J101</f>
        <v>0</v>
      </c>
      <c r="K96" s="925"/>
    </row>
    <row r="97" spans="1:11" ht="12.75" customHeight="1">
      <c r="A97" s="198" t="s">
        <v>473</v>
      </c>
      <c r="B97" s="926">
        <f>SUM(B98:E100)</f>
        <v>0</v>
      </c>
      <c r="C97" s="926"/>
      <c r="D97" s="926"/>
      <c r="E97" s="926"/>
      <c r="F97" s="926">
        <f>SUM(F98:G100)</f>
        <v>0</v>
      </c>
      <c r="G97" s="926"/>
      <c r="H97" s="926">
        <f>SUM(H98:I100)</f>
        <v>0</v>
      </c>
      <c r="I97" s="926"/>
      <c r="J97" s="926">
        <f>SUM(J98:K100)</f>
        <v>0</v>
      </c>
      <c r="K97" s="926"/>
    </row>
    <row r="98" spans="1:11" ht="12.75" customHeight="1">
      <c r="A98" s="151" t="s">
        <v>474</v>
      </c>
      <c r="B98" s="927"/>
      <c r="C98" s="927"/>
      <c r="D98" s="927"/>
      <c r="E98" s="927"/>
      <c r="F98" s="927"/>
      <c r="G98" s="927"/>
      <c r="H98" s="882"/>
      <c r="I98" s="882"/>
      <c r="J98" s="882"/>
      <c r="K98" s="882"/>
    </row>
    <row r="99" spans="1:11" ht="12.75" customHeight="1">
      <c r="A99" s="151" t="s">
        <v>475</v>
      </c>
      <c r="B99" s="927"/>
      <c r="C99" s="927"/>
      <c r="D99" s="927"/>
      <c r="E99" s="927"/>
      <c r="F99" s="927"/>
      <c r="G99" s="927"/>
      <c r="H99" s="882"/>
      <c r="I99" s="882"/>
      <c r="J99" s="882"/>
      <c r="K99" s="882"/>
    </row>
    <row r="100" spans="1:11" ht="12.75" customHeight="1">
      <c r="A100" s="151" t="s">
        <v>476</v>
      </c>
      <c r="B100" s="927"/>
      <c r="C100" s="927"/>
      <c r="D100" s="927"/>
      <c r="E100" s="927"/>
      <c r="F100" s="927"/>
      <c r="G100" s="927"/>
      <c r="H100" s="882"/>
      <c r="I100" s="882"/>
      <c r="J100" s="882"/>
      <c r="K100" s="882"/>
    </row>
    <row r="101" spans="1:11" ht="12.75" customHeight="1">
      <c r="A101" s="198" t="s">
        <v>477</v>
      </c>
      <c r="B101" s="926">
        <f>SUM(B102:E104)</f>
        <v>0</v>
      </c>
      <c r="C101" s="926"/>
      <c r="D101" s="926"/>
      <c r="E101" s="926"/>
      <c r="F101" s="926">
        <f>SUM(F102:G104)</f>
        <v>0</v>
      </c>
      <c r="G101" s="926"/>
      <c r="H101" s="926">
        <f>SUM(H102:I104)</f>
        <v>0</v>
      </c>
      <c r="I101" s="926"/>
      <c r="J101" s="926">
        <f>SUM(J102:K104)</f>
        <v>0</v>
      </c>
      <c r="K101" s="926"/>
    </row>
    <row r="102" spans="1:11" ht="12.75" customHeight="1">
      <c r="A102" s="151" t="s">
        <v>474</v>
      </c>
      <c r="B102" s="927"/>
      <c r="C102" s="927"/>
      <c r="D102" s="927"/>
      <c r="E102" s="927"/>
      <c r="F102" s="927"/>
      <c r="G102" s="927"/>
      <c r="H102" s="882"/>
      <c r="I102" s="882"/>
      <c r="J102" s="882"/>
      <c r="K102" s="882"/>
    </row>
    <row r="103" spans="1:11" ht="12.75" customHeight="1">
      <c r="A103" s="151" t="s">
        <v>475</v>
      </c>
      <c r="B103" s="927"/>
      <c r="C103" s="927"/>
      <c r="D103" s="927"/>
      <c r="E103" s="927"/>
      <c r="F103" s="927"/>
      <c r="G103" s="927"/>
      <c r="H103" s="882"/>
      <c r="I103" s="882"/>
      <c r="J103" s="882"/>
      <c r="K103" s="882"/>
    </row>
    <row r="104" spans="1:11" ht="12.75" customHeight="1">
      <c r="A104" s="151" t="s">
        <v>476</v>
      </c>
      <c r="B104" s="927"/>
      <c r="C104" s="927"/>
      <c r="D104" s="927"/>
      <c r="E104" s="927"/>
      <c r="F104" s="927"/>
      <c r="G104" s="927"/>
      <c r="H104" s="882"/>
      <c r="I104" s="882"/>
      <c r="J104" s="882"/>
      <c r="K104" s="882"/>
    </row>
    <row r="105" spans="1:11" ht="12.75" customHeight="1">
      <c r="A105" s="197" t="s">
        <v>478</v>
      </c>
      <c r="B105" s="925">
        <f>+B106+B110+B114</f>
        <v>0</v>
      </c>
      <c r="C105" s="925"/>
      <c r="D105" s="925"/>
      <c r="E105" s="925"/>
      <c r="F105" s="925">
        <f>+F106+F110+F114</f>
        <v>0</v>
      </c>
      <c r="G105" s="925"/>
      <c r="H105" s="925">
        <f>+H106+H110+H114</f>
        <v>0</v>
      </c>
      <c r="I105" s="925"/>
      <c r="J105" s="925">
        <f>+J106+J110+J114</f>
        <v>0</v>
      </c>
      <c r="K105" s="925"/>
    </row>
    <row r="106" spans="1:11" ht="12.75" customHeight="1">
      <c r="A106" s="198" t="s">
        <v>473</v>
      </c>
      <c r="B106" s="926">
        <f>SUM(B107:E109)</f>
        <v>0</v>
      </c>
      <c r="C106" s="926"/>
      <c r="D106" s="926"/>
      <c r="E106" s="926"/>
      <c r="F106" s="926">
        <f>SUM(F107:G109)</f>
        <v>0</v>
      </c>
      <c r="G106" s="926"/>
      <c r="H106" s="926">
        <f>SUM(H107:I109)</f>
        <v>0</v>
      </c>
      <c r="I106" s="926"/>
      <c r="J106" s="926">
        <f>SUM(J107:K109)</f>
        <v>0</v>
      </c>
      <c r="K106" s="926"/>
    </row>
    <row r="107" spans="1:11" ht="12.75" customHeight="1">
      <c r="A107" s="151" t="s">
        <v>474</v>
      </c>
      <c r="B107" s="927"/>
      <c r="C107" s="927"/>
      <c r="D107" s="927"/>
      <c r="E107" s="927"/>
      <c r="F107" s="927"/>
      <c r="G107" s="927"/>
      <c r="H107" s="882"/>
      <c r="I107" s="882"/>
      <c r="J107" s="882"/>
      <c r="K107" s="882"/>
    </row>
    <row r="108" spans="1:11" ht="12.75" customHeight="1">
      <c r="A108" s="151" t="s">
        <v>475</v>
      </c>
      <c r="B108" s="927"/>
      <c r="C108" s="927"/>
      <c r="D108" s="927"/>
      <c r="E108" s="927"/>
      <c r="F108" s="927"/>
      <c r="G108" s="927"/>
      <c r="H108" s="882"/>
      <c r="I108" s="882"/>
      <c r="J108" s="882"/>
      <c r="K108" s="882"/>
    </row>
    <row r="109" spans="1:11" ht="12.75" customHeight="1">
      <c r="A109" s="151" t="s">
        <v>476</v>
      </c>
      <c r="B109" s="927"/>
      <c r="C109" s="927"/>
      <c r="D109" s="927"/>
      <c r="E109" s="927"/>
      <c r="F109" s="927"/>
      <c r="G109" s="927"/>
      <c r="H109" s="882"/>
      <c r="I109" s="882"/>
      <c r="J109" s="882"/>
      <c r="K109" s="882"/>
    </row>
    <row r="110" spans="1:11" ht="12.75" customHeight="1">
      <c r="A110" s="198" t="s">
        <v>477</v>
      </c>
      <c r="B110" s="926">
        <f>SUM(B111:E113)</f>
        <v>0</v>
      </c>
      <c r="C110" s="926"/>
      <c r="D110" s="926"/>
      <c r="E110" s="926"/>
      <c r="F110" s="926">
        <f>SUM(F111:G113)</f>
        <v>0</v>
      </c>
      <c r="G110" s="926"/>
      <c r="H110" s="926">
        <f>SUM(H111:I113)</f>
        <v>0</v>
      </c>
      <c r="I110" s="926"/>
      <c r="J110" s="926">
        <f>SUM(J111:K113)</f>
        <v>0</v>
      </c>
      <c r="K110" s="926"/>
    </row>
    <row r="111" spans="1:11" ht="12.75" customHeight="1">
      <c r="A111" s="151" t="s">
        <v>474</v>
      </c>
      <c r="B111" s="927"/>
      <c r="C111" s="927"/>
      <c r="D111" s="927"/>
      <c r="E111" s="927"/>
      <c r="F111" s="927"/>
      <c r="G111" s="927"/>
      <c r="H111" s="882"/>
      <c r="I111" s="882"/>
      <c r="J111" s="882"/>
      <c r="K111" s="882"/>
    </row>
    <row r="112" spans="1:11" ht="12.75" customHeight="1">
      <c r="A112" s="151" t="s">
        <v>475</v>
      </c>
      <c r="B112" s="927"/>
      <c r="C112" s="927"/>
      <c r="D112" s="927"/>
      <c r="E112" s="927"/>
      <c r="F112" s="927"/>
      <c r="G112" s="927"/>
      <c r="H112" s="882"/>
      <c r="I112" s="882"/>
      <c r="J112" s="882"/>
      <c r="K112" s="882"/>
    </row>
    <row r="113" spans="1:11" ht="12.75" customHeight="1">
      <c r="A113" s="151" t="s">
        <v>476</v>
      </c>
      <c r="B113" s="927">
        <v>0</v>
      </c>
      <c r="C113" s="927"/>
      <c r="D113" s="927"/>
      <c r="E113" s="927"/>
      <c r="F113" s="927">
        <v>0</v>
      </c>
      <c r="G113" s="927"/>
      <c r="H113" s="882">
        <v>0</v>
      </c>
      <c r="I113" s="882"/>
      <c r="J113" s="882">
        <v>0</v>
      </c>
      <c r="K113" s="882"/>
    </row>
    <row r="114" spans="1:11" ht="12.75" customHeight="1">
      <c r="A114" s="198" t="s">
        <v>479</v>
      </c>
      <c r="B114" s="952">
        <v>0</v>
      </c>
      <c r="C114" s="952"/>
      <c r="D114" s="952"/>
      <c r="E114" s="952"/>
      <c r="F114" s="952">
        <v>0</v>
      </c>
      <c r="G114" s="952"/>
      <c r="H114" s="952">
        <v>0</v>
      </c>
      <c r="I114" s="952"/>
      <c r="J114" s="952">
        <v>0</v>
      </c>
      <c r="K114" s="952"/>
    </row>
    <row r="115" spans="1:11" ht="12.75" customHeight="1">
      <c r="A115" s="197" t="s">
        <v>480</v>
      </c>
      <c r="B115" s="925">
        <f>SUM(B116:E118)</f>
        <v>0</v>
      </c>
      <c r="C115" s="925"/>
      <c r="D115" s="925"/>
      <c r="E115" s="925"/>
      <c r="F115" s="925">
        <f>SUM(F116:G118)</f>
        <v>0</v>
      </c>
      <c r="G115" s="925"/>
      <c r="H115" s="925">
        <f>SUM(H116:I118)</f>
        <v>0</v>
      </c>
      <c r="I115" s="925"/>
      <c r="J115" s="925">
        <f>SUM(J116:K118)</f>
        <v>0</v>
      </c>
      <c r="K115" s="925"/>
    </row>
    <row r="116" spans="1:11" ht="12.75" customHeight="1">
      <c r="A116" s="151" t="s">
        <v>481</v>
      </c>
      <c r="B116" s="927"/>
      <c r="C116" s="927"/>
      <c r="D116" s="927"/>
      <c r="E116" s="927"/>
      <c r="F116" s="927"/>
      <c r="G116" s="927"/>
      <c r="H116" s="882"/>
      <c r="I116" s="882"/>
      <c r="J116" s="882"/>
      <c r="K116" s="882"/>
    </row>
    <row r="117" spans="1:11" ht="12.75" customHeight="1">
      <c r="A117" s="151" t="s">
        <v>482</v>
      </c>
      <c r="B117" s="927"/>
      <c r="C117" s="927"/>
      <c r="D117" s="927"/>
      <c r="E117" s="927"/>
      <c r="F117" s="927"/>
      <c r="G117" s="927"/>
      <c r="H117" s="882"/>
      <c r="I117" s="882"/>
      <c r="J117" s="882"/>
      <c r="K117" s="882"/>
    </row>
    <row r="118" spans="1:11" ht="12.75" customHeight="1">
      <c r="A118" s="151" t="s">
        <v>483</v>
      </c>
      <c r="B118" s="927"/>
      <c r="C118" s="927"/>
      <c r="D118" s="927"/>
      <c r="E118" s="927"/>
      <c r="F118" s="927"/>
      <c r="G118" s="927"/>
      <c r="H118" s="882"/>
      <c r="I118" s="882"/>
      <c r="J118" s="882"/>
      <c r="K118" s="882"/>
    </row>
    <row r="119" spans="1:11" ht="12.75" customHeight="1">
      <c r="A119" s="197" t="s">
        <v>484</v>
      </c>
      <c r="B119" s="927"/>
      <c r="C119" s="927"/>
      <c r="D119" s="927"/>
      <c r="E119" s="927"/>
      <c r="F119" s="927"/>
      <c r="G119" s="927"/>
      <c r="H119" s="927"/>
      <c r="I119" s="927"/>
      <c r="J119" s="927"/>
      <c r="K119" s="927"/>
    </row>
    <row r="120" spans="1:11" ht="12.75" customHeight="1">
      <c r="A120" s="197" t="s">
        <v>399</v>
      </c>
      <c r="B120" s="925">
        <f>SUM(B121:E122)</f>
        <v>0</v>
      </c>
      <c r="C120" s="925"/>
      <c r="D120" s="925"/>
      <c r="E120" s="925"/>
      <c r="F120" s="925">
        <f>SUM(F121:G122)</f>
        <v>0</v>
      </c>
      <c r="G120" s="925"/>
      <c r="H120" s="925">
        <f>SUM(H121:I122)</f>
        <v>0</v>
      </c>
      <c r="I120" s="925"/>
      <c r="J120" s="925">
        <f>SUM(J121:K122)</f>
        <v>0</v>
      </c>
      <c r="K120" s="925"/>
    </row>
    <row r="121" spans="1:11" ht="12.75" customHeight="1">
      <c r="A121" s="151" t="s">
        <v>485</v>
      </c>
      <c r="B121" s="927"/>
      <c r="C121" s="927"/>
      <c r="D121" s="927"/>
      <c r="E121" s="927"/>
      <c r="F121" s="927"/>
      <c r="G121" s="927"/>
      <c r="H121" s="882"/>
      <c r="I121" s="882"/>
      <c r="J121" s="882"/>
      <c r="K121" s="882"/>
    </row>
    <row r="122" spans="1:11" ht="12.75" customHeight="1">
      <c r="A122" s="151" t="s">
        <v>486</v>
      </c>
      <c r="B122" s="927"/>
      <c r="C122" s="927"/>
      <c r="D122" s="927"/>
      <c r="E122" s="927"/>
      <c r="F122" s="927"/>
      <c r="G122" s="927"/>
      <c r="H122" s="882"/>
      <c r="I122" s="882"/>
      <c r="J122" s="882"/>
      <c r="K122" s="882"/>
    </row>
    <row r="123" spans="1:11" ht="12.75" customHeight="1">
      <c r="A123" s="150" t="s">
        <v>487</v>
      </c>
      <c r="B123" s="951">
        <f>SUM(B124:E126)</f>
        <v>0</v>
      </c>
      <c r="C123" s="951"/>
      <c r="D123" s="951"/>
      <c r="E123" s="951"/>
      <c r="F123" s="951">
        <f>SUM(F124:G126)</f>
        <v>0</v>
      </c>
      <c r="G123" s="951"/>
      <c r="H123" s="951">
        <f>SUM(H124:I126)</f>
        <v>0</v>
      </c>
      <c r="I123" s="951"/>
      <c r="J123" s="951">
        <f>SUM(J124:K126)</f>
        <v>0</v>
      </c>
      <c r="K123" s="951"/>
    </row>
    <row r="124" spans="1:11" ht="12.75" customHeight="1">
      <c r="A124" s="151" t="s">
        <v>488</v>
      </c>
      <c r="B124" s="927"/>
      <c r="C124" s="927"/>
      <c r="D124" s="927"/>
      <c r="E124" s="927"/>
      <c r="F124" s="927"/>
      <c r="G124" s="927"/>
      <c r="H124" s="882"/>
      <c r="I124" s="882"/>
      <c r="J124" s="882"/>
      <c r="K124" s="882"/>
    </row>
    <row r="125" spans="1:11" ht="12.75" customHeight="1">
      <c r="A125" s="151" t="s">
        <v>489</v>
      </c>
      <c r="B125" s="927"/>
      <c r="C125" s="927"/>
      <c r="D125" s="927"/>
      <c r="E125" s="927"/>
      <c r="F125" s="927"/>
      <c r="G125" s="927"/>
      <c r="H125" s="882"/>
      <c r="I125" s="882"/>
      <c r="J125" s="882"/>
      <c r="K125" s="882"/>
    </row>
    <row r="126" spans="1:11" ht="12.75" customHeight="1">
      <c r="A126" s="151" t="s">
        <v>490</v>
      </c>
      <c r="B126" s="927"/>
      <c r="C126" s="927"/>
      <c r="D126" s="927"/>
      <c r="E126" s="927"/>
      <c r="F126" s="927"/>
      <c r="G126" s="927"/>
      <c r="H126" s="882"/>
      <c r="I126" s="882"/>
      <c r="J126" s="882"/>
      <c r="K126" s="882"/>
    </row>
    <row r="127" spans="1:11" ht="14.25" customHeight="1">
      <c r="A127" s="245" t="s">
        <v>491</v>
      </c>
      <c r="B127" s="953">
        <f>+B95+B123</f>
        <v>0</v>
      </c>
      <c r="C127" s="953"/>
      <c r="D127" s="953"/>
      <c r="E127" s="953"/>
      <c r="F127" s="953">
        <f>+F95+F123</f>
        <v>0</v>
      </c>
      <c r="G127" s="953"/>
      <c r="H127" s="953">
        <f>+H95+H123</f>
        <v>0</v>
      </c>
      <c r="I127" s="953"/>
      <c r="J127" s="953">
        <f>+J95+J123</f>
        <v>0</v>
      </c>
      <c r="K127" s="953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54" t="s">
        <v>437</v>
      </c>
      <c r="B129" s="921" t="s">
        <v>123</v>
      </c>
      <c r="C129" s="921"/>
      <c r="D129" s="955" t="s">
        <v>124</v>
      </c>
      <c r="E129" s="955"/>
      <c r="F129" s="921" t="s">
        <v>125</v>
      </c>
      <c r="G129" s="921"/>
      <c r="H129" s="921" t="s">
        <v>126</v>
      </c>
      <c r="I129" s="921"/>
      <c r="J129" s="921" t="s">
        <v>194</v>
      </c>
      <c r="K129" s="921"/>
    </row>
    <row r="130" spans="1:11" ht="12.75" customHeight="1">
      <c r="A130" s="954"/>
      <c r="B130" s="921"/>
      <c r="C130" s="921"/>
      <c r="D130" s="955"/>
      <c r="E130" s="955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54"/>
      <c r="B131" s="921"/>
      <c r="C131" s="921"/>
      <c r="D131" s="955"/>
      <c r="E131" s="955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56">
        <f>SUM(B133:C134)</f>
        <v>0</v>
      </c>
      <c r="C132" s="956"/>
      <c r="D132" s="956">
        <f>SUM(D133:E134)</f>
        <v>0</v>
      </c>
      <c r="E132" s="956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82"/>
      <c r="C133" s="882"/>
      <c r="D133" s="882"/>
      <c r="E133" s="882"/>
      <c r="F133" s="215"/>
      <c r="G133" s="99"/>
      <c r="H133" s="99"/>
      <c r="I133" s="99"/>
      <c r="J133" s="99"/>
      <c r="K133" s="251"/>
    </row>
    <row r="134" spans="1:11" ht="12.75" customHeight="1">
      <c r="A134" s="250" t="s">
        <v>494</v>
      </c>
      <c r="B134" s="882"/>
      <c r="C134" s="882"/>
      <c r="D134" s="882"/>
      <c r="E134" s="882"/>
      <c r="F134" s="215"/>
      <c r="G134" s="99"/>
      <c r="H134" s="99"/>
      <c r="I134" s="99"/>
      <c r="J134" s="99"/>
      <c r="K134" s="251"/>
    </row>
    <row r="135" spans="1:11" ht="12.75" customHeight="1">
      <c r="A135" s="252" t="s">
        <v>495</v>
      </c>
      <c r="B135" s="957">
        <f>+B136+B140+B144</f>
        <v>0</v>
      </c>
      <c r="C135" s="957"/>
      <c r="D135" s="957">
        <f>+D136+D140+D144</f>
        <v>0</v>
      </c>
      <c r="E135" s="957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57">
        <f>+B137+B138+B139</f>
        <v>0</v>
      </c>
      <c r="C136" s="957"/>
      <c r="D136" s="957">
        <f>+D137+D138+D139</f>
        <v>0</v>
      </c>
      <c r="E136" s="957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82"/>
      <c r="C137" s="882"/>
      <c r="D137" s="882"/>
      <c r="E137" s="882"/>
      <c r="F137" s="215"/>
      <c r="G137" s="215"/>
      <c r="H137" s="215"/>
      <c r="I137" s="215"/>
      <c r="J137" s="215"/>
      <c r="K137" s="209"/>
    </row>
    <row r="138" spans="1:11" ht="12.75" customHeight="1">
      <c r="A138" s="250" t="s">
        <v>498</v>
      </c>
      <c r="B138" s="882"/>
      <c r="C138" s="882"/>
      <c r="D138" s="882"/>
      <c r="E138" s="882"/>
      <c r="F138" s="215"/>
      <c r="G138" s="215"/>
      <c r="H138" s="215"/>
      <c r="I138" s="215"/>
      <c r="J138" s="215"/>
      <c r="K138" s="209"/>
    </row>
    <row r="139" spans="1:11" ht="12.75" customHeight="1">
      <c r="A139" s="250" t="s">
        <v>499</v>
      </c>
      <c r="B139" s="882"/>
      <c r="C139" s="882"/>
      <c r="D139" s="882"/>
      <c r="E139" s="882"/>
      <c r="F139" s="215"/>
      <c r="G139" s="215"/>
      <c r="H139" s="215"/>
      <c r="I139" s="215"/>
      <c r="J139" s="215"/>
      <c r="K139" s="209"/>
    </row>
    <row r="140" spans="1:11" ht="12.75" customHeight="1">
      <c r="A140" s="250" t="s">
        <v>500</v>
      </c>
      <c r="B140" s="957">
        <f>+B141+B142+B143</f>
        <v>0</v>
      </c>
      <c r="C140" s="957"/>
      <c r="D140" s="957">
        <f>+D141+D142+D143</f>
        <v>0</v>
      </c>
      <c r="E140" s="957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82"/>
      <c r="C141" s="882"/>
      <c r="D141" s="882"/>
      <c r="E141" s="882"/>
      <c r="F141" s="215"/>
      <c r="G141" s="215"/>
      <c r="H141" s="215"/>
      <c r="I141" s="215"/>
      <c r="J141" s="215"/>
      <c r="K141" s="209"/>
    </row>
    <row r="142" spans="1:11" ht="12.75" customHeight="1">
      <c r="A142" s="250" t="s">
        <v>498</v>
      </c>
      <c r="B142" s="882"/>
      <c r="C142" s="882"/>
      <c r="D142" s="882"/>
      <c r="E142" s="882"/>
      <c r="F142" s="215"/>
      <c r="G142" s="215"/>
      <c r="H142" s="215"/>
      <c r="I142" s="215"/>
      <c r="J142" s="215"/>
      <c r="K142" s="209"/>
    </row>
    <row r="143" spans="1:11" ht="12.75" customHeight="1">
      <c r="A143" s="250" t="s">
        <v>499</v>
      </c>
      <c r="B143" s="882"/>
      <c r="C143" s="882"/>
      <c r="D143" s="882"/>
      <c r="E143" s="882"/>
      <c r="F143" s="215"/>
      <c r="G143" s="215"/>
      <c r="H143" s="215"/>
      <c r="I143" s="215"/>
      <c r="J143" s="215"/>
      <c r="K143" s="209"/>
    </row>
    <row r="144" spans="1:11" ht="12.75" customHeight="1">
      <c r="A144" s="250" t="s">
        <v>502</v>
      </c>
      <c r="B144" s="957">
        <f>+B145+B146</f>
        <v>0</v>
      </c>
      <c r="C144" s="957"/>
      <c r="D144" s="957">
        <f>+D145+D146</f>
        <v>0</v>
      </c>
      <c r="E144" s="957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82"/>
      <c r="C145" s="882"/>
      <c r="D145" s="882"/>
      <c r="E145" s="882"/>
      <c r="F145" s="215"/>
      <c r="G145" s="99"/>
      <c r="H145" s="99"/>
      <c r="I145" s="99"/>
      <c r="J145" s="99"/>
      <c r="K145" s="251"/>
    </row>
    <row r="146" spans="1:11" ht="12.75" customHeight="1">
      <c r="A146" s="254" t="s">
        <v>503</v>
      </c>
      <c r="B146" s="908"/>
      <c r="C146" s="908"/>
      <c r="D146" s="908"/>
      <c r="E146" s="908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1">
        <f>B132+B135</f>
        <v>0</v>
      </c>
      <c r="C147" s="891"/>
      <c r="D147" s="891">
        <f>D132+D135</f>
        <v>0</v>
      </c>
      <c r="E147" s="891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1">
        <f>B127-B147</f>
        <v>0</v>
      </c>
      <c r="C149" s="891"/>
      <c r="D149" s="891">
        <f>F127-D147</f>
        <v>0</v>
      </c>
      <c r="E149" s="891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1" t="s">
        <v>459</v>
      </c>
      <c r="C151" s="891"/>
      <c r="D151" s="891"/>
      <c r="E151" s="891"/>
      <c r="F151" s="891"/>
      <c r="G151" s="891"/>
      <c r="H151" s="891"/>
      <c r="I151" s="891"/>
      <c r="J151" s="891"/>
      <c r="K151" s="891"/>
    </row>
    <row r="152" spans="1:11" ht="12.75" customHeight="1">
      <c r="A152" s="259" t="s">
        <v>507</v>
      </c>
      <c r="B152" s="958"/>
      <c r="C152" s="958"/>
      <c r="D152" s="958"/>
      <c r="E152" s="958"/>
      <c r="F152" s="958"/>
      <c r="G152" s="958"/>
      <c r="H152" s="958"/>
      <c r="I152" s="958"/>
      <c r="J152" s="958"/>
      <c r="K152" s="958"/>
    </row>
    <row r="153" spans="1:11" ht="12.75" customHeight="1">
      <c r="A153" s="262" t="s">
        <v>508</v>
      </c>
      <c r="B153" s="959"/>
      <c r="C153" s="959"/>
      <c r="D153" s="959"/>
      <c r="E153" s="959"/>
      <c r="F153" s="959"/>
      <c r="G153" s="959"/>
      <c r="H153" s="959"/>
      <c r="I153" s="959"/>
      <c r="J153" s="959"/>
      <c r="K153" s="959"/>
    </row>
    <row r="154" spans="1:11" ht="18.75" customHeight="1">
      <c r="A154" s="960" t="s">
        <v>159</v>
      </c>
      <c r="B154" s="960"/>
      <c r="C154" s="960"/>
      <c r="D154" s="960"/>
      <c r="E154" s="960"/>
      <c r="F154" s="960"/>
      <c r="G154" s="960"/>
      <c r="H154" s="960"/>
      <c r="I154" s="960"/>
      <c r="J154" s="960"/>
      <c r="K154" s="960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61" t="s">
        <v>510</v>
      </c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</row>
    <row r="157" spans="1:11" ht="11.25" customHeight="1">
      <c r="A157" s="962" t="s">
        <v>511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870" t="str">
        <f>+'Informações Iniciais'!A1:B1</f>
        <v>ESTADO DO MARANHÃO - MUNICÍPIO DE SÃO FRANCISCO DO BREJÃO</v>
      </c>
      <c r="B3" s="870"/>
      <c r="C3" s="870"/>
      <c r="D3" s="870"/>
      <c r="E3" s="870"/>
      <c r="F3" s="870"/>
      <c r="G3" s="870"/>
    </row>
    <row r="4" spans="1:7" ht="12.75" customHeight="1">
      <c r="A4" s="870" t="s">
        <v>0</v>
      </c>
      <c r="B4" s="870"/>
      <c r="C4" s="870"/>
      <c r="D4" s="870"/>
      <c r="E4" s="870"/>
      <c r="F4" s="870"/>
      <c r="G4" s="870"/>
    </row>
    <row r="5" spans="1:7" ht="12.75" customHeight="1">
      <c r="A5" s="869" t="s">
        <v>513</v>
      </c>
      <c r="B5" s="869"/>
      <c r="C5" s="869"/>
      <c r="D5" s="869"/>
      <c r="E5" s="869"/>
      <c r="F5" s="869"/>
      <c r="G5" s="869"/>
    </row>
    <row r="6" spans="1:7" ht="12.75" customHeight="1">
      <c r="A6" s="870" t="s">
        <v>28</v>
      </c>
      <c r="B6" s="870"/>
      <c r="C6" s="870"/>
      <c r="D6" s="870"/>
      <c r="E6" s="870"/>
      <c r="F6" s="870"/>
      <c r="G6" s="870"/>
    </row>
    <row r="7" spans="1:7" ht="12.75" customHeight="1">
      <c r="A7" s="870" t="str">
        <f>+'Informações Iniciais'!A5:B5</f>
        <v>3º Bimestre de 2018</v>
      </c>
      <c r="B7" s="870"/>
      <c r="C7" s="870"/>
      <c r="D7" s="870"/>
      <c r="E7" s="870"/>
      <c r="F7" s="870"/>
      <c r="G7" s="870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63" t="s">
        <v>35</v>
      </c>
      <c r="E10" s="963"/>
      <c r="F10" s="267"/>
      <c r="G10" s="268"/>
    </row>
    <row r="11" spans="1:7" ht="12.75" customHeight="1">
      <c r="A11" s="269" t="s">
        <v>515</v>
      </c>
      <c r="B11" s="964" t="s">
        <v>516</v>
      </c>
      <c r="C11" s="964"/>
      <c r="D11" s="965" t="s">
        <v>517</v>
      </c>
      <c r="E11" s="965"/>
      <c r="F11" s="966" t="s">
        <v>518</v>
      </c>
      <c r="G11" s="966"/>
    </row>
    <row r="12" spans="1:7" ht="12.75" customHeight="1">
      <c r="A12" s="270"/>
      <c r="B12" s="967" t="s">
        <v>39</v>
      </c>
      <c r="C12" s="967"/>
      <c r="D12" s="968" t="s">
        <v>40</v>
      </c>
      <c r="E12" s="968"/>
      <c r="F12" s="969" t="s">
        <v>42</v>
      </c>
      <c r="G12" s="969"/>
    </row>
    <row r="13" spans="1:7" ht="12.75" customHeight="1">
      <c r="A13" s="30" t="s">
        <v>519</v>
      </c>
      <c r="B13" s="882"/>
      <c r="C13" s="882"/>
      <c r="D13" s="882"/>
      <c r="E13" s="882"/>
      <c r="F13" s="882"/>
      <c r="G13" s="882"/>
    </row>
    <row r="14" spans="1:7" ht="12.75" customHeight="1">
      <c r="A14" s="30" t="s">
        <v>400</v>
      </c>
      <c r="B14" s="957">
        <f>+B15+B18</f>
        <v>0</v>
      </c>
      <c r="C14" s="957"/>
      <c r="D14" s="957">
        <f>+D15+D18</f>
        <v>0</v>
      </c>
      <c r="E14" s="957"/>
      <c r="F14" s="957">
        <f>+F15+F18</f>
        <v>0</v>
      </c>
      <c r="G14" s="957"/>
    </row>
    <row r="15" spans="1:7" ht="12.75" customHeight="1">
      <c r="A15" s="271" t="s">
        <v>520</v>
      </c>
      <c r="B15" s="957">
        <f>IF(ABS(B17)&gt;B16,0,B16-ABS(B17))</f>
        <v>0</v>
      </c>
      <c r="C15" s="957"/>
      <c r="D15" s="957">
        <f>IF(ABS(D17)&gt;D16,0,D16-ABS(D17))</f>
        <v>0</v>
      </c>
      <c r="E15" s="957"/>
      <c r="F15" s="957">
        <f>IF(ABS(F17)&gt;F16,0,F16-ABS(F17))</f>
        <v>0</v>
      </c>
      <c r="G15" s="957"/>
    </row>
    <row r="16" spans="1:7" ht="12.75" customHeight="1">
      <c r="A16" s="271" t="s">
        <v>521</v>
      </c>
      <c r="B16" s="882"/>
      <c r="C16" s="882"/>
      <c r="D16" s="882"/>
      <c r="E16" s="882"/>
      <c r="F16" s="882"/>
      <c r="G16" s="882"/>
    </row>
    <row r="17" spans="1:7" ht="12.75" customHeight="1">
      <c r="A17" s="271" t="s">
        <v>522</v>
      </c>
      <c r="B17" s="882"/>
      <c r="C17" s="882"/>
      <c r="D17" s="882"/>
      <c r="E17" s="882"/>
      <c r="F17" s="882"/>
      <c r="G17" s="882"/>
    </row>
    <row r="18" spans="1:7" ht="12.75" customHeight="1">
      <c r="A18" s="271" t="s">
        <v>523</v>
      </c>
      <c r="B18" s="882"/>
      <c r="C18" s="882"/>
      <c r="D18" s="882"/>
      <c r="E18" s="882"/>
      <c r="F18" s="882"/>
      <c r="G18" s="882"/>
    </row>
    <row r="19" spans="1:7" ht="12.75" customHeight="1">
      <c r="A19" s="30" t="s">
        <v>524</v>
      </c>
      <c r="B19" s="957">
        <f>IF(ABS(B14)&gt;B13,0,B13-ABS(B14))</f>
        <v>0</v>
      </c>
      <c r="C19" s="957"/>
      <c r="D19" s="957">
        <f>IF(ABS(D14)&gt;D13,0,D13-ABS(D14))</f>
        <v>0</v>
      </c>
      <c r="E19" s="957"/>
      <c r="F19" s="957">
        <f>IF(ABS(F14)&gt;F13,0,F13-ABS(F14))</f>
        <v>0</v>
      </c>
      <c r="G19" s="957"/>
    </row>
    <row r="20" spans="1:7" ht="12.75" customHeight="1">
      <c r="A20" s="30" t="s">
        <v>525</v>
      </c>
      <c r="B20" s="882"/>
      <c r="C20" s="882"/>
      <c r="D20" s="882"/>
      <c r="E20" s="882"/>
      <c r="F20" s="882"/>
      <c r="G20" s="882"/>
    </row>
    <row r="21" spans="1:7" ht="12.75" customHeight="1">
      <c r="A21" s="30" t="s">
        <v>526</v>
      </c>
      <c r="B21" s="882"/>
      <c r="C21" s="882"/>
      <c r="D21" s="882"/>
      <c r="E21" s="882"/>
      <c r="F21" s="882"/>
      <c r="G21" s="882"/>
    </row>
    <row r="22" spans="1:7" ht="12.75" customHeight="1">
      <c r="A22" s="272" t="s">
        <v>527</v>
      </c>
      <c r="B22" s="887">
        <f>B19+B20-B21</f>
        <v>0</v>
      </c>
      <c r="C22" s="887"/>
      <c r="D22" s="887">
        <f>D19+D20-D21</f>
        <v>0</v>
      </c>
      <c r="E22" s="887"/>
      <c r="F22" s="887">
        <f>F19+F20-F21</f>
        <v>0</v>
      </c>
      <c r="G22" s="887"/>
    </row>
    <row r="23" spans="1:7" ht="12.75" customHeight="1">
      <c r="A23" s="151"/>
      <c r="B23" s="970">
        <f>IF(B17&lt;0,SUM(B15:C18),+B15+B18-B17)</f>
        <v>0</v>
      </c>
      <c r="C23" s="970"/>
      <c r="D23" s="970">
        <f>IF(D17&lt;0,SUM(D15:E18),+D15+D18-D17)</f>
        <v>0</v>
      </c>
      <c r="E23" s="970"/>
      <c r="F23" s="970">
        <f>IF(F17&lt;0,SUM(F15:G18),+F15+F18-F17)</f>
        <v>0</v>
      </c>
      <c r="G23" s="970"/>
    </row>
    <row r="24" spans="1:7" ht="12.75" customHeight="1">
      <c r="A24" s="871" t="s">
        <v>528</v>
      </c>
      <c r="B24" s="273"/>
      <c r="C24" s="274"/>
      <c r="D24" s="971" t="s">
        <v>465</v>
      </c>
      <c r="E24" s="971"/>
      <c r="F24" s="274"/>
      <c r="G24" s="275"/>
    </row>
    <row r="25" spans="1:7" ht="12.75" customHeight="1">
      <c r="A25" s="871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871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72">
        <f>F22-D22</f>
        <v>0</v>
      </c>
      <c r="C27" s="972"/>
      <c r="D27" s="972"/>
      <c r="E27" s="972">
        <f>F22-B22</f>
        <v>0</v>
      </c>
      <c r="F27" s="972"/>
      <c r="G27" s="972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73" t="s">
        <v>531</v>
      </c>
      <c r="B29" s="973"/>
      <c r="C29" s="973"/>
      <c r="D29" s="973"/>
      <c r="E29" s="974" t="s">
        <v>532</v>
      </c>
      <c r="F29" s="974"/>
      <c r="G29" s="974"/>
    </row>
    <row r="30" spans="1:7" ht="11.25" customHeight="1">
      <c r="A30" s="973"/>
      <c r="B30" s="973"/>
      <c r="C30" s="973"/>
      <c r="D30" s="973"/>
      <c r="E30" s="974"/>
      <c r="F30" s="974"/>
      <c r="G30" s="974"/>
    </row>
    <row r="31" spans="1:7" ht="12.75" customHeight="1">
      <c r="A31" s="282" t="s">
        <v>533</v>
      </c>
      <c r="B31" s="283"/>
      <c r="C31" s="283"/>
      <c r="D31" s="283"/>
      <c r="E31" s="975"/>
      <c r="F31" s="975"/>
      <c r="G31" s="975"/>
    </row>
    <row r="32" spans="1:9" ht="12.75" customHeight="1">
      <c r="A32" s="976" t="s">
        <v>159</v>
      </c>
      <c r="B32" s="976"/>
      <c r="C32" s="976"/>
      <c r="D32" s="976"/>
      <c r="E32" s="976"/>
      <c r="F32" s="976"/>
      <c r="G32" s="976"/>
      <c r="H32" s="284"/>
      <c r="I32" s="284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90" zoomScaleNormal="90" zoomScalePageLayoutView="0" workbookViewId="0" topLeftCell="A86">
      <selection activeCell="F119" sqref="F119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870" t="str">
        <f>+'Informações Iniciais'!A1:B1</f>
        <v>ESTADO DO MARANHÃO - MUNICÍPIO DE SÃO FRANCISCO DO BREJÃO</v>
      </c>
      <c r="B3" s="870"/>
      <c r="C3" s="870"/>
      <c r="D3" s="870"/>
    </row>
    <row r="4" spans="1:4" ht="12.75" customHeight="1">
      <c r="A4" s="870" t="s">
        <v>0</v>
      </c>
      <c r="B4" s="870"/>
      <c r="C4" s="870"/>
      <c r="D4" s="870"/>
    </row>
    <row r="5" spans="1:4" ht="12.75" customHeight="1">
      <c r="A5" s="869" t="s">
        <v>535</v>
      </c>
      <c r="B5" s="869"/>
      <c r="C5" s="869"/>
      <c r="D5" s="869"/>
    </row>
    <row r="6" spans="1:4" ht="12.75" customHeight="1">
      <c r="A6" s="870" t="s">
        <v>28</v>
      </c>
      <c r="B6" s="870"/>
      <c r="C6" s="870"/>
      <c r="D6" s="870"/>
    </row>
    <row r="7" spans="1:4" ht="12.75" customHeight="1">
      <c r="A7" s="870" t="str">
        <f>+'Informações Iniciais'!A5:B5</f>
        <v>3º Bimestre de 2018</v>
      </c>
      <c r="B7" s="870"/>
      <c r="C7" s="870"/>
      <c r="D7" s="870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977" t="s">
        <v>538</v>
      </c>
      <c r="B10" s="977"/>
      <c r="C10" s="977"/>
      <c r="D10" s="977"/>
      <c r="E10" s="977"/>
      <c r="F10" s="977"/>
      <c r="G10" s="977"/>
      <c r="H10" s="977"/>
    </row>
    <row r="11" spans="1:8" ht="11.25" customHeight="1">
      <c r="A11" s="977"/>
      <c r="B11" s="977"/>
      <c r="C11" s="977"/>
      <c r="D11" s="977"/>
      <c r="E11" s="977"/>
      <c r="F11" s="977"/>
      <c r="G11" s="977"/>
      <c r="H11" s="977"/>
    </row>
    <row r="12" spans="1:8" ht="11.25" customHeight="1">
      <c r="A12" s="293"/>
      <c r="B12" s="978" t="s">
        <v>539</v>
      </c>
      <c r="C12" s="979" t="s">
        <v>540</v>
      </c>
      <c r="D12" s="979"/>
      <c r="E12" s="979"/>
      <c r="F12" s="979"/>
      <c r="G12" s="979"/>
      <c r="H12" s="979"/>
    </row>
    <row r="13" spans="1:8" ht="12.75" customHeight="1">
      <c r="A13" s="295" t="s">
        <v>541</v>
      </c>
      <c r="B13" s="978"/>
      <c r="C13" s="980" t="s">
        <v>34</v>
      </c>
      <c r="D13" s="980"/>
      <c r="E13" s="980"/>
      <c r="F13" s="980"/>
      <c r="G13" s="980"/>
      <c r="H13" s="980"/>
    </row>
    <row r="14" spans="1:8" ht="11.25" customHeight="1">
      <c r="A14" s="296"/>
      <c r="B14" s="978"/>
      <c r="C14" s="981" t="s">
        <v>39</v>
      </c>
      <c r="D14" s="981"/>
      <c r="E14" s="981"/>
      <c r="F14" s="981"/>
      <c r="G14" s="981"/>
      <c r="H14" s="981"/>
    </row>
    <row r="15" spans="1:8" ht="11.25" customHeight="1">
      <c r="A15" s="297" t="s">
        <v>376</v>
      </c>
      <c r="B15" s="298">
        <f>B16+B22+B23+B26+B35</f>
        <v>30594500</v>
      </c>
      <c r="C15" s="982">
        <f>C16+C22+C23+C26+C35</f>
        <v>11922801.56</v>
      </c>
      <c r="D15" s="982"/>
      <c r="E15" s="982"/>
      <c r="F15" s="982"/>
      <c r="G15" s="982"/>
      <c r="H15" s="982"/>
    </row>
    <row r="16" spans="1:8" ht="11.25" customHeight="1">
      <c r="A16" s="299" t="s">
        <v>542</v>
      </c>
      <c r="B16" s="300">
        <f>SUM(B17:B21)</f>
        <v>173300</v>
      </c>
      <c r="C16" s="983">
        <f>SUM(C17:C21)</f>
        <v>279973.14</v>
      </c>
      <c r="D16" s="983"/>
      <c r="E16" s="983"/>
      <c r="F16" s="983"/>
      <c r="G16" s="983"/>
      <c r="H16" s="983"/>
    </row>
    <row r="17" spans="1:8" ht="11.25" customHeight="1">
      <c r="A17" s="301" t="s">
        <v>378</v>
      </c>
      <c r="B17" s="302">
        <v>6500</v>
      </c>
      <c r="C17" s="984">
        <v>3039.92</v>
      </c>
      <c r="D17" s="984"/>
      <c r="E17" s="984"/>
      <c r="F17" s="984"/>
      <c r="G17" s="984"/>
      <c r="H17" s="984"/>
    </row>
    <row r="18" spans="1:8" ht="11.25" customHeight="1">
      <c r="A18" s="301" t="s">
        <v>379</v>
      </c>
      <c r="B18" s="302">
        <v>100500</v>
      </c>
      <c r="C18" s="984">
        <v>147375.4</v>
      </c>
      <c r="D18" s="984"/>
      <c r="E18" s="984"/>
      <c r="F18" s="984"/>
      <c r="G18" s="984"/>
      <c r="H18" s="984"/>
    </row>
    <row r="19" spans="1:8" ht="11.25" customHeight="1">
      <c r="A19" s="301" t="s">
        <v>380</v>
      </c>
      <c r="B19" s="302">
        <v>5500</v>
      </c>
      <c r="C19" s="984">
        <v>7511.76</v>
      </c>
      <c r="D19" s="984"/>
      <c r="E19" s="984"/>
      <c r="F19" s="984"/>
      <c r="G19" s="984"/>
      <c r="H19" s="984"/>
    </row>
    <row r="20" spans="1:8" ht="11.25" customHeight="1">
      <c r="A20" s="301" t="s">
        <v>381</v>
      </c>
      <c r="B20" s="302">
        <v>51500</v>
      </c>
      <c r="C20" s="984">
        <v>49418.95</v>
      </c>
      <c r="D20" s="984"/>
      <c r="E20" s="984"/>
      <c r="F20" s="984"/>
      <c r="G20" s="984"/>
      <c r="H20" s="984"/>
    </row>
    <row r="21" spans="1:8" ht="11.25" customHeight="1">
      <c r="A21" s="301" t="s">
        <v>382</v>
      </c>
      <c r="B21" s="302">
        <v>9300</v>
      </c>
      <c r="C21" s="984">
        <v>72627.11</v>
      </c>
      <c r="D21" s="984"/>
      <c r="E21" s="984"/>
      <c r="F21" s="984"/>
      <c r="G21" s="984"/>
      <c r="H21" s="984"/>
    </row>
    <row r="22" spans="1:8" ht="11.25" customHeight="1">
      <c r="A22" s="303" t="s">
        <v>543</v>
      </c>
      <c r="B22" s="302">
        <v>50000</v>
      </c>
      <c r="C22" s="984">
        <v>134.76</v>
      </c>
      <c r="D22" s="984"/>
      <c r="E22" s="984"/>
      <c r="F22" s="984"/>
      <c r="G22" s="984"/>
      <c r="H22" s="984"/>
    </row>
    <row r="23" spans="1:8" ht="11.25" customHeight="1">
      <c r="A23" s="301" t="s">
        <v>544</v>
      </c>
      <c r="B23" s="300">
        <f>B24+B25</f>
        <v>36100</v>
      </c>
      <c r="C23" s="985">
        <f>C24+C25</f>
        <v>11633.56</v>
      </c>
      <c r="D23" s="985"/>
      <c r="E23" s="985"/>
      <c r="F23" s="985"/>
      <c r="G23" s="985"/>
      <c r="H23" s="985"/>
    </row>
    <row r="24" spans="1:8" ht="11.25" customHeight="1">
      <c r="A24" s="304" t="s">
        <v>545</v>
      </c>
      <c r="B24" s="302">
        <v>34000</v>
      </c>
      <c r="C24" s="984">
        <v>11633.56</v>
      </c>
      <c r="D24" s="984"/>
      <c r="E24" s="984"/>
      <c r="F24" s="984"/>
      <c r="G24" s="984"/>
      <c r="H24" s="984"/>
    </row>
    <row r="25" spans="1:8" ht="11.25" customHeight="1">
      <c r="A25" s="301" t="s">
        <v>483</v>
      </c>
      <c r="B25" s="302">
        <v>2100</v>
      </c>
      <c r="C25" s="984">
        <v>0</v>
      </c>
      <c r="D25" s="984"/>
      <c r="E25" s="984"/>
      <c r="F25" s="984"/>
      <c r="G25" s="984"/>
      <c r="H25" s="984"/>
    </row>
    <row r="26" spans="1:8" ht="11.25" customHeight="1">
      <c r="A26" s="304" t="s">
        <v>546</v>
      </c>
      <c r="B26" s="300">
        <f>SUM(B27:B34)</f>
        <v>30309400</v>
      </c>
      <c r="C26" s="986">
        <f>SUM(C27:C34)</f>
        <v>11590756.23</v>
      </c>
      <c r="D26" s="986"/>
      <c r="E26" s="986"/>
      <c r="F26" s="986"/>
      <c r="G26" s="986"/>
      <c r="H26" s="986"/>
    </row>
    <row r="27" spans="1:8" ht="11.25" customHeight="1">
      <c r="A27" s="301" t="s">
        <v>391</v>
      </c>
      <c r="B27" s="302">
        <v>9800000</v>
      </c>
      <c r="C27" s="984">
        <v>4035158.06</v>
      </c>
      <c r="D27" s="984"/>
      <c r="E27" s="984"/>
      <c r="F27" s="984"/>
      <c r="G27" s="984"/>
      <c r="H27" s="984"/>
    </row>
    <row r="28" spans="1:8" ht="11.25" customHeight="1">
      <c r="A28" s="301" t="s">
        <v>392</v>
      </c>
      <c r="B28" s="302">
        <v>1600000</v>
      </c>
      <c r="C28" s="984">
        <v>761568.47</v>
      </c>
      <c r="D28" s="984"/>
      <c r="E28" s="984"/>
      <c r="F28" s="984"/>
      <c r="G28" s="984"/>
      <c r="H28" s="984"/>
    </row>
    <row r="29" spans="1:8" ht="11.25" customHeight="1">
      <c r="A29" s="301" t="s">
        <v>393</v>
      </c>
      <c r="B29" s="302">
        <v>80000</v>
      </c>
      <c r="C29" s="984">
        <v>125644.18</v>
      </c>
      <c r="D29" s="984"/>
      <c r="E29" s="984"/>
      <c r="F29" s="984"/>
      <c r="G29" s="984"/>
      <c r="H29" s="984"/>
    </row>
    <row r="30" spans="1:8" ht="11.25" customHeight="1">
      <c r="A30" s="301" t="s">
        <v>394</v>
      </c>
      <c r="B30" s="302">
        <v>8000</v>
      </c>
      <c r="C30" s="984">
        <v>2147.6</v>
      </c>
      <c r="D30" s="984"/>
      <c r="E30" s="984"/>
      <c r="F30" s="984"/>
      <c r="G30" s="984"/>
      <c r="H30" s="984"/>
    </row>
    <row r="31" spans="1:8" ht="11.25" customHeight="1">
      <c r="A31" s="301" t="s">
        <v>395</v>
      </c>
      <c r="B31" s="302">
        <v>8000</v>
      </c>
      <c r="C31" s="984">
        <v>4581.6</v>
      </c>
      <c r="D31" s="984"/>
      <c r="E31" s="984"/>
      <c r="F31" s="984"/>
      <c r="G31" s="984"/>
      <c r="H31" s="984"/>
    </row>
    <row r="32" spans="1:8" ht="11.25" customHeight="1">
      <c r="A32" s="297" t="s">
        <v>396</v>
      </c>
      <c r="B32" s="302">
        <v>0</v>
      </c>
      <c r="C32" s="987">
        <v>0</v>
      </c>
      <c r="D32" s="987"/>
      <c r="E32" s="987"/>
      <c r="F32" s="987"/>
      <c r="G32" s="987"/>
      <c r="H32" s="987"/>
    </row>
    <row r="33" spans="1:8" ht="11.25" customHeight="1">
      <c r="A33" s="301" t="s">
        <v>397</v>
      </c>
      <c r="B33" s="302">
        <v>8080000</v>
      </c>
      <c r="C33" s="984">
        <v>4221265.25</v>
      </c>
      <c r="D33" s="984"/>
      <c r="E33" s="984"/>
      <c r="F33" s="984"/>
      <c r="G33" s="984"/>
      <c r="H33" s="984"/>
    </row>
    <row r="34" spans="1:8" ht="11.25" customHeight="1">
      <c r="A34" s="301" t="s">
        <v>398</v>
      </c>
      <c r="B34" s="302">
        <v>10733400</v>
      </c>
      <c r="C34" s="984">
        <v>2440391.07</v>
      </c>
      <c r="D34" s="984"/>
      <c r="E34" s="984"/>
      <c r="F34" s="984"/>
      <c r="G34" s="984"/>
      <c r="H34" s="984"/>
    </row>
    <row r="35" spans="1:8" ht="11.25" customHeight="1">
      <c r="A35" s="301" t="s">
        <v>547</v>
      </c>
      <c r="B35" s="300">
        <f>SUM(B36:B37)</f>
        <v>25700</v>
      </c>
      <c r="C35" s="985">
        <f>SUM(C36:C37)</f>
        <v>40303.87</v>
      </c>
      <c r="D35" s="985"/>
      <c r="E35" s="985"/>
      <c r="F35" s="985"/>
      <c r="G35" s="985"/>
      <c r="H35" s="985"/>
    </row>
    <row r="36" spans="1:8" ht="11.25" customHeight="1">
      <c r="A36" s="304" t="s">
        <v>548</v>
      </c>
      <c r="B36" s="302">
        <v>0</v>
      </c>
      <c r="C36" s="984">
        <v>0</v>
      </c>
      <c r="D36" s="984"/>
      <c r="E36" s="984"/>
      <c r="F36" s="984"/>
      <c r="G36" s="984"/>
      <c r="H36" s="984"/>
    </row>
    <row r="37" spans="1:8" ht="11.25" customHeight="1">
      <c r="A37" s="301" t="s">
        <v>549</v>
      </c>
      <c r="B37" s="302">
        <v>25700</v>
      </c>
      <c r="C37" s="984">
        <v>40303.87</v>
      </c>
      <c r="D37" s="984"/>
      <c r="E37" s="984"/>
      <c r="F37" s="984"/>
      <c r="G37" s="984"/>
      <c r="H37" s="984"/>
    </row>
    <row r="38" spans="1:8" ht="11.25" customHeight="1">
      <c r="A38" s="304" t="s">
        <v>550</v>
      </c>
      <c r="B38" s="300">
        <f>B15-B24-B36</f>
        <v>30560500</v>
      </c>
      <c r="C38" s="985">
        <f>C15-C24-C36</f>
        <v>11911168</v>
      </c>
      <c r="D38" s="985"/>
      <c r="E38" s="985"/>
      <c r="F38" s="985"/>
      <c r="G38" s="985"/>
      <c r="H38" s="985"/>
    </row>
    <row r="39" spans="1:8" ht="11.25" customHeight="1">
      <c r="A39" s="304" t="s">
        <v>551</v>
      </c>
      <c r="B39" s="305">
        <f>B40+B41+B42+B46+B49</f>
        <v>4491500</v>
      </c>
      <c r="C39" s="988">
        <f>C40+C41+C42+C46+C49</f>
        <v>0</v>
      </c>
      <c r="D39" s="988"/>
      <c r="E39" s="988"/>
      <c r="F39" s="988"/>
      <c r="G39" s="988"/>
      <c r="H39" s="988"/>
    </row>
    <row r="40" spans="1:8" ht="11.25" customHeight="1">
      <c r="A40" s="301" t="s">
        <v>552</v>
      </c>
      <c r="B40" s="302">
        <v>4000</v>
      </c>
      <c r="C40" s="984">
        <v>0</v>
      </c>
      <c r="D40" s="984"/>
      <c r="E40" s="984"/>
      <c r="F40" s="984"/>
      <c r="G40" s="984"/>
      <c r="H40" s="984"/>
    </row>
    <row r="41" spans="1:8" ht="11.25" customHeight="1">
      <c r="A41" s="304" t="s">
        <v>553</v>
      </c>
      <c r="B41" s="302">
        <v>0</v>
      </c>
      <c r="C41" s="984">
        <v>0</v>
      </c>
      <c r="D41" s="984"/>
      <c r="E41" s="984"/>
      <c r="F41" s="984"/>
      <c r="G41" s="984"/>
      <c r="H41" s="984"/>
    </row>
    <row r="42" spans="1:8" ht="11.25" customHeight="1">
      <c r="A42" s="301" t="s">
        <v>488</v>
      </c>
      <c r="B42" s="306">
        <f>B43+B44+B45</f>
        <v>3000</v>
      </c>
      <c r="C42" s="986">
        <f>C43+C44+C45</f>
        <v>0</v>
      </c>
      <c r="D42" s="986"/>
      <c r="E42" s="986"/>
      <c r="F42" s="986"/>
      <c r="G42" s="986"/>
      <c r="H42" s="986"/>
    </row>
    <row r="43" spans="1:8" ht="11.25" customHeight="1">
      <c r="A43" s="304" t="s">
        <v>554</v>
      </c>
      <c r="B43" s="307">
        <v>0</v>
      </c>
      <c r="C43" s="984">
        <v>0</v>
      </c>
      <c r="D43" s="984"/>
      <c r="E43" s="984"/>
      <c r="F43" s="984"/>
      <c r="G43" s="984"/>
      <c r="H43" s="984"/>
    </row>
    <row r="44" spans="1:8" ht="11.25" customHeight="1">
      <c r="A44" s="304" t="s">
        <v>555</v>
      </c>
      <c r="B44" s="302">
        <v>0</v>
      </c>
      <c r="C44" s="984">
        <v>0</v>
      </c>
      <c r="D44" s="984"/>
      <c r="E44" s="984"/>
      <c r="F44" s="984"/>
      <c r="G44" s="984"/>
      <c r="H44" s="984"/>
    </row>
    <row r="45" spans="1:8" ht="11.25" customHeight="1">
      <c r="A45" s="301" t="s">
        <v>556</v>
      </c>
      <c r="B45" s="302">
        <v>3000</v>
      </c>
      <c r="C45" s="984">
        <v>0</v>
      </c>
      <c r="D45" s="984"/>
      <c r="E45" s="984"/>
      <c r="F45" s="984"/>
      <c r="G45" s="984"/>
      <c r="H45" s="984"/>
    </row>
    <row r="46" spans="1:8" ht="11.25" customHeight="1">
      <c r="A46" s="301" t="s">
        <v>557</v>
      </c>
      <c r="B46" s="308">
        <f>SUM(B47:B48)</f>
        <v>4484500</v>
      </c>
      <c r="C46" s="989">
        <f>SUM(C47:C48)</f>
        <v>0</v>
      </c>
      <c r="D46" s="989"/>
      <c r="E46" s="989"/>
      <c r="F46" s="989"/>
      <c r="G46" s="989"/>
      <c r="H46" s="989"/>
    </row>
    <row r="47" spans="1:8" ht="11.25" customHeight="1">
      <c r="A47" s="301" t="s">
        <v>558</v>
      </c>
      <c r="B47" s="302">
        <v>964500</v>
      </c>
      <c r="C47" s="984">
        <v>0</v>
      </c>
      <c r="D47" s="984"/>
      <c r="E47" s="984"/>
      <c r="F47" s="984"/>
      <c r="G47" s="984"/>
      <c r="H47" s="984"/>
    </row>
    <row r="48" spans="1:8" ht="11.25" customHeight="1">
      <c r="A48" s="301" t="s">
        <v>559</v>
      </c>
      <c r="B48" s="302">
        <v>3520000</v>
      </c>
      <c r="C48" s="984">
        <v>0</v>
      </c>
      <c r="D48" s="984"/>
      <c r="E48" s="984"/>
      <c r="F48" s="984"/>
      <c r="G48" s="984"/>
      <c r="H48" s="984"/>
    </row>
    <row r="49" spans="1:8" ht="11.25" customHeight="1">
      <c r="A49" s="301" t="s">
        <v>490</v>
      </c>
      <c r="B49" s="300">
        <f>B50+B51</f>
        <v>0</v>
      </c>
      <c r="C49" s="986">
        <f>C50+C51</f>
        <v>0</v>
      </c>
      <c r="D49" s="986"/>
      <c r="E49" s="986"/>
      <c r="F49" s="986"/>
      <c r="G49" s="986"/>
      <c r="H49" s="986"/>
    </row>
    <row r="50" spans="1:8" ht="11.25" customHeight="1">
      <c r="A50" s="304" t="s">
        <v>560</v>
      </c>
      <c r="B50" s="302">
        <v>0</v>
      </c>
      <c r="C50" s="984">
        <v>0</v>
      </c>
      <c r="D50" s="984"/>
      <c r="E50" s="984"/>
      <c r="F50" s="984"/>
      <c r="G50" s="984"/>
      <c r="H50" s="984"/>
    </row>
    <row r="51" spans="1:8" ht="11.25" customHeight="1">
      <c r="A51" s="301" t="s">
        <v>561</v>
      </c>
      <c r="B51" s="302">
        <v>0</v>
      </c>
      <c r="C51" s="984">
        <v>0</v>
      </c>
      <c r="D51" s="984"/>
      <c r="E51" s="984"/>
      <c r="F51" s="984"/>
      <c r="G51" s="984"/>
      <c r="H51" s="984"/>
    </row>
    <row r="52" spans="1:8" ht="14.25" customHeight="1">
      <c r="A52" s="304" t="s">
        <v>562</v>
      </c>
      <c r="B52" s="309">
        <f>B39-B40-B41-B43-B44-B50</f>
        <v>4487500</v>
      </c>
      <c r="C52" s="990">
        <f>C39-C40-C41-C43-C44-C50</f>
        <v>0</v>
      </c>
      <c r="D52" s="990"/>
      <c r="E52" s="990"/>
      <c r="F52" s="990"/>
      <c r="G52" s="990"/>
      <c r="H52" s="990"/>
    </row>
    <row r="53" spans="1:8" ht="11.25" customHeight="1">
      <c r="A53" s="310" t="s">
        <v>563</v>
      </c>
      <c r="B53" s="311">
        <f>B38+B52</f>
        <v>35048000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991" t="s">
        <v>564</v>
      </c>
      <c r="B55" s="978" t="s">
        <v>565</v>
      </c>
      <c r="C55" s="992" t="s">
        <v>540</v>
      </c>
      <c r="D55" s="992"/>
      <c r="E55" s="992"/>
      <c r="F55" s="992"/>
      <c r="G55" s="992"/>
      <c r="H55" s="992"/>
    </row>
    <row r="56" spans="1:8" ht="11.25" customHeight="1">
      <c r="A56" s="991"/>
      <c r="B56" s="978"/>
      <c r="C56" s="993" t="s">
        <v>566</v>
      </c>
      <c r="D56" s="993" t="s">
        <v>126</v>
      </c>
      <c r="E56" s="994" t="s">
        <v>567</v>
      </c>
      <c r="F56" s="995" t="s">
        <v>568</v>
      </c>
      <c r="G56" s="978" t="s">
        <v>569</v>
      </c>
      <c r="H56" s="978"/>
    </row>
    <row r="57" spans="1:8" ht="11.25" customHeight="1">
      <c r="A57" s="991"/>
      <c r="B57" s="978"/>
      <c r="C57" s="993"/>
      <c r="D57" s="993"/>
      <c r="E57" s="993"/>
      <c r="F57" s="995"/>
      <c r="G57" s="978"/>
      <c r="H57" s="978"/>
    </row>
    <row r="58" spans="1:8" ht="25.5" customHeight="1">
      <c r="A58" s="991"/>
      <c r="B58" s="978"/>
      <c r="C58" s="993"/>
      <c r="D58" s="993"/>
      <c r="E58" s="993"/>
      <c r="F58" s="320" t="s">
        <v>570</v>
      </c>
      <c r="G58" s="978"/>
      <c r="H58" s="978"/>
    </row>
    <row r="59" spans="1:8" ht="11.25" customHeight="1">
      <c r="A59" s="991"/>
      <c r="B59" s="978"/>
      <c r="C59" s="993"/>
      <c r="D59" s="993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33233347.86</v>
      </c>
      <c r="C60" s="324">
        <f t="shared" si="0"/>
        <v>16786226.23</v>
      </c>
      <c r="D60" s="325">
        <f t="shared" si="0"/>
        <v>10341231.030000001</v>
      </c>
      <c r="E60" s="326">
        <f t="shared" si="0"/>
        <v>10291241.32</v>
      </c>
      <c r="F60" s="327">
        <f t="shared" si="0"/>
        <v>0</v>
      </c>
      <c r="G60" s="327">
        <f t="shared" si="0"/>
        <v>525159.52</v>
      </c>
      <c r="H60" s="328">
        <f t="shared" si="0"/>
        <v>523191.5</v>
      </c>
    </row>
    <row r="61" spans="1:8" ht="11.25" customHeight="1">
      <c r="A61" s="301" t="s">
        <v>574</v>
      </c>
      <c r="B61" s="329">
        <v>16233330.78</v>
      </c>
      <c r="C61" s="330">
        <v>7618106.87</v>
      </c>
      <c r="D61" s="331">
        <v>7618106.87</v>
      </c>
      <c r="E61" s="332">
        <v>7608278.04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9000</v>
      </c>
      <c r="C62" s="330">
        <v>4872.19</v>
      </c>
      <c r="D62" s="331">
        <v>4872.19</v>
      </c>
      <c r="E62" s="332">
        <v>4872.19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16991017.08</v>
      </c>
      <c r="C63" s="330">
        <v>9163247.17</v>
      </c>
      <c r="D63" s="331">
        <v>2718251.97</v>
      </c>
      <c r="E63" s="332">
        <v>2678091.09</v>
      </c>
      <c r="F63" s="335">
        <v>0</v>
      </c>
      <c r="G63" s="333">
        <v>525159.52</v>
      </c>
      <c r="H63" s="334">
        <v>523191.5</v>
      </c>
    </row>
    <row r="64" spans="1:8" ht="11.25" customHeight="1">
      <c r="A64" s="304" t="s">
        <v>577</v>
      </c>
      <c r="B64" s="336">
        <f aca="true" t="shared" si="1" ref="B64:H64">B60-B62</f>
        <v>33224347.86</v>
      </c>
      <c r="C64" s="336">
        <f t="shared" si="1"/>
        <v>16781354.04</v>
      </c>
      <c r="D64" s="336">
        <f t="shared" si="1"/>
        <v>10336358.840000002</v>
      </c>
      <c r="E64" s="336">
        <f t="shared" si="1"/>
        <v>10286369.13</v>
      </c>
      <c r="F64" s="336">
        <f t="shared" si="1"/>
        <v>0</v>
      </c>
      <c r="G64" s="336">
        <f t="shared" si="1"/>
        <v>525159.52</v>
      </c>
      <c r="H64" s="336">
        <f t="shared" si="1"/>
        <v>523191.5</v>
      </c>
    </row>
    <row r="65" spans="1:8" ht="11.25" customHeight="1">
      <c r="A65" s="304" t="s">
        <v>578</v>
      </c>
      <c r="B65" s="325">
        <f aca="true" t="shared" si="2" ref="B65:H65">B66+B67+B72</f>
        <v>18219622.14</v>
      </c>
      <c r="C65" s="325">
        <f t="shared" si="2"/>
        <v>1726930.3599999999</v>
      </c>
      <c r="D65" s="325">
        <f t="shared" si="2"/>
        <v>251593.37</v>
      </c>
      <c r="E65" s="325">
        <f t="shared" si="2"/>
        <v>251593.37</v>
      </c>
      <c r="F65" s="325">
        <f t="shared" si="2"/>
        <v>0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579</v>
      </c>
      <c r="B66" s="332">
        <v>18039622.14</v>
      </c>
      <c r="C66" s="335">
        <v>1617544.39</v>
      </c>
      <c r="D66" s="333">
        <v>142207.4</v>
      </c>
      <c r="E66" s="332">
        <v>142207.4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180000</v>
      </c>
      <c r="C72" s="330">
        <v>109385.97</v>
      </c>
      <c r="D72" s="331">
        <v>109385.97</v>
      </c>
      <c r="E72" s="332">
        <v>109385.97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18039622.14</v>
      </c>
      <c r="C73" s="337">
        <f t="shared" si="4"/>
        <v>1617544.39</v>
      </c>
      <c r="D73" s="337">
        <f t="shared" si="4"/>
        <v>142207.4</v>
      </c>
      <c r="E73" s="337">
        <f t="shared" si="4"/>
        <v>142207.4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587</v>
      </c>
      <c r="B74" s="338"/>
      <c r="C74" s="339"/>
      <c r="D74" s="340"/>
      <c r="E74" s="341"/>
      <c r="F74" s="339"/>
      <c r="G74" s="339"/>
      <c r="H74" s="340"/>
    </row>
    <row r="75" spans="1:8" ht="11.25" customHeight="1">
      <c r="A75" s="342" t="s">
        <v>588</v>
      </c>
      <c r="B75" s="343">
        <f aca="true" t="shared" si="5" ref="B75:H75">B64+B73+B74</f>
        <v>51263970</v>
      </c>
      <c r="C75" s="343">
        <f t="shared" si="5"/>
        <v>18398898.43</v>
      </c>
      <c r="D75" s="343">
        <f t="shared" si="5"/>
        <v>10478566.240000002</v>
      </c>
      <c r="E75" s="343">
        <f t="shared" si="5"/>
        <v>10428576.530000001</v>
      </c>
      <c r="F75" s="343">
        <f t="shared" si="5"/>
        <v>0</v>
      </c>
      <c r="G75" s="343">
        <f t="shared" si="5"/>
        <v>525159.52</v>
      </c>
      <c r="H75" s="343">
        <f t="shared" si="5"/>
        <v>523191.5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996">
        <v>959399.97</v>
      </c>
      <c r="C77" s="996"/>
      <c r="D77" s="996"/>
      <c r="E77" s="996"/>
      <c r="F77" s="996"/>
      <c r="G77" s="996"/>
      <c r="H77" s="996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997" t="s">
        <v>590</v>
      </c>
      <c r="B79" s="998" t="s">
        <v>532</v>
      </c>
      <c r="C79" s="998"/>
      <c r="D79" s="998"/>
      <c r="E79" s="998"/>
      <c r="F79" s="998"/>
      <c r="G79" s="998"/>
      <c r="H79" s="998"/>
    </row>
    <row r="80" spans="1:8" ht="11.25" customHeight="1">
      <c r="A80" s="997"/>
      <c r="B80" s="998"/>
      <c r="C80" s="998"/>
      <c r="D80" s="998"/>
      <c r="E80" s="998"/>
      <c r="F80" s="998"/>
      <c r="G80" s="998"/>
      <c r="H80" s="998"/>
    </row>
    <row r="81" spans="1:8" ht="11.25" customHeight="1">
      <c r="A81" s="351" t="s">
        <v>591</v>
      </c>
      <c r="B81" s="999">
        <v>30161900</v>
      </c>
      <c r="C81" s="999"/>
      <c r="D81" s="999"/>
      <c r="E81" s="999"/>
      <c r="F81" s="999"/>
      <c r="G81" s="999"/>
      <c r="H81" s="999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79" t="s">
        <v>540</v>
      </c>
      <c r="C83" s="979"/>
      <c r="D83" s="979"/>
      <c r="E83" s="979"/>
      <c r="F83" s="979"/>
      <c r="G83" s="979"/>
      <c r="H83" s="979"/>
    </row>
    <row r="84" spans="1:8" ht="11.25" customHeight="1">
      <c r="A84" s="295" t="s">
        <v>592</v>
      </c>
      <c r="B84" s="979" t="s">
        <v>593</v>
      </c>
      <c r="C84" s="979"/>
      <c r="D84" s="979"/>
      <c r="E84" s="979"/>
      <c r="F84" s="979"/>
      <c r="G84" s="979"/>
      <c r="H84" s="979"/>
    </row>
    <row r="85" spans="1:8" ht="11.25" customHeight="1">
      <c r="A85" s="354"/>
      <c r="B85" s="979"/>
      <c r="C85" s="979"/>
      <c r="D85" s="979"/>
      <c r="E85" s="979"/>
      <c r="F85" s="979"/>
      <c r="G85" s="979"/>
      <c r="H85" s="979"/>
    </row>
    <row r="86" spans="1:8" ht="11.25" customHeight="1">
      <c r="A86" s="301" t="s">
        <v>594</v>
      </c>
      <c r="B86" s="1000">
        <v>11633.56</v>
      </c>
      <c r="C86" s="1000"/>
      <c r="D86" s="1000"/>
      <c r="E86" s="1000"/>
      <c r="F86" s="1000"/>
      <c r="G86" s="1000"/>
      <c r="H86" s="1000"/>
    </row>
    <row r="87" spans="1:8" ht="11.25" customHeight="1">
      <c r="A87" s="355" t="s">
        <v>595</v>
      </c>
      <c r="B87" s="1000">
        <v>4872.19</v>
      </c>
      <c r="C87" s="1000"/>
      <c r="D87" s="1000"/>
      <c r="E87" s="1000"/>
      <c r="F87" s="1000"/>
      <c r="G87" s="1000"/>
      <c r="H87" s="1000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996">
        <v>0</v>
      </c>
      <c r="C89" s="996"/>
      <c r="D89" s="996"/>
      <c r="E89" s="996"/>
      <c r="F89" s="996"/>
      <c r="G89" s="996"/>
      <c r="H89" s="996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997" t="s">
        <v>597</v>
      </c>
      <c r="B91" s="998" t="s">
        <v>532</v>
      </c>
      <c r="C91" s="998"/>
      <c r="D91" s="998"/>
      <c r="E91" s="998"/>
      <c r="F91" s="998"/>
      <c r="G91" s="998"/>
      <c r="H91" s="998"/>
    </row>
    <row r="92" spans="1:8" ht="11.25" customHeight="1">
      <c r="A92" s="997"/>
      <c r="B92" s="998"/>
      <c r="C92" s="998"/>
      <c r="D92" s="998"/>
      <c r="E92" s="998"/>
      <c r="F92" s="998"/>
      <c r="G92" s="998"/>
      <c r="H92" s="998"/>
    </row>
    <row r="93" spans="1:8" ht="11.25" customHeight="1">
      <c r="A93" s="357" t="s">
        <v>591</v>
      </c>
      <c r="B93" s="1001">
        <v>0</v>
      </c>
      <c r="C93" s="1001"/>
      <c r="D93" s="1001"/>
      <c r="E93" s="1001"/>
      <c r="F93" s="1001"/>
      <c r="G93" s="1001"/>
      <c r="H93" s="1001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977" t="s">
        <v>598</v>
      </c>
      <c r="B95" s="977"/>
      <c r="C95" s="977"/>
      <c r="D95" s="977"/>
      <c r="E95" s="977"/>
      <c r="F95" s="977"/>
      <c r="G95" s="977"/>
      <c r="H95" s="977"/>
    </row>
    <row r="96" spans="1:8" ht="11.25" customHeight="1">
      <c r="A96" s="977"/>
      <c r="B96" s="977"/>
      <c r="C96" s="977"/>
      <c r="D96" s="977"/>
      <c r="E96" s="977"/>
      <c r="F96" s="977"/>
      <c r="G96" s="977"/>
      <c r="H96" s="977"/>
    </row>
    <row r="97" spans="1:8" ht="11.25" customHeight="1">
      <c r="A97" s="293"/>
      <c r="B97" s="1002" t="s">
        <v>35</v>
      </c>
      <c r="C97" s="1002"/>
      <c r="D97" s="1002"/>
      <c r="E97" s="1002"/>
      <c r="F97" s="1002"/>
      <c r="G97" s="1002"/>
      <c r="H97" s="1002"/>
    </row>
    <row r="98" spans="1:8" ht="11.25" customHeight="1">
      <c r="A98" s="295" t="s">
        <v>599</v>
      </c>
      <c r="B98" s="1003" t="s">
        <v>516</v>
      </c>
      <c r="C98" s="1003"/>
      <c r="D98" s="1003"/>
      <c r="E98" s="1003"/>
      <c r="F98" s="1004" t="s">
        <v>600</v>
      </c>
      <c r="G98" s="1004"/>
      <c r="H98" s="1004"/>
    </row>
    <row r="99" spans="1:8" ht="11.25" customHeight="1">
      <c r="A99" s="296"/>
      <c r="B99" s="993" t="s">
        <v>39</v>
      </c>
      <c r="C99" s="993"/>
      <c r="D99" s="993"/>
      <c r="E99" s="993"/>
      <c r="F99" s="1005" t="s">
        <v>40</v>
      </c>
      <c r="G99" s="1005"/>
      <c r="H99" s="1005"/>
    </row>
    <row r="100" spans="1:8" ht="11.25" customHeight="1">
      <c r="A100" s="301" t="s">
        <v>601</v>
      </c>
      <c r="B100" s="1006">
        <v>0</v>
      </c>
      <c r="C100" s="1006"/>
      <c r="D100" s="1006"/>
      <c r="E100" s="1006"/>
      <c r="F100" s="1007">
        <v>0</v>
      </c>
      <c r="G100" s="1007"/>
      <c r="H100" s="1007"/>
    </row>
    <row r="101" spans="1:8" ht="11.25" customHeight="1">
      <c r="A101" s="301" t="s">
        <v>602</v>
      </c>
      <c r="B101" s="1006">
        <v>0</v>
      </c>
      <c r="C101" s="1006"/>
      <c r="D101" s="1006"/>
      <c r="E101" s="1006"/>
      <c r="F101" s="1007">
        <v>0</v>
      </c>
      <c r="G101" s="1007"/>
      <c r="H101" s="1007"/>
    </row>
    <row r="102" spans="1:8" ht="11.25" customHeight="1">
      <c r="A102" s="358" t="s">
        <v>520</v>
      </c>
      <c r="B102" s="1006">
        <v>1008979.57</v>
      </c>
      <c r="C102" s="1006"/>
      <c r="D102" s="1006"/>
      <c r="E102" s="1006"/>
      <c r="F102" s="1007">
        <v>1552640.05</v>
      </c>
      <c r="G102" s="1007"/>
      <c r="H102" s="1007"/>
    </row>
    <row r="103" spans="1:8" ht="11.25" customHeight="1">
      <c r="A103" s="358" t="s">
        <v>603</v>
      </c>
      <c r="B103" s="1006">
        <v>1085074.47</v>
      </c>
      <c r="C103" s="1006"/>
      <c r="D103" s="1006"/>
      <c r="E103" s="1006"/>
      <c r="F103" s="1007">
        <v>1630702.97</v>
      </c>
      <c r="G103" s="1007"/>
      <c r="H103" s="1007"/>
    </row>
    <row r="104" spans="1:8" ht="11.25" customHeight="1">
      <c r="A104" s="358" t="s">
        <v>604</v>
      </c>
      <c r="B104" s="1006">
        <v>76094.9</v>
      </c>
      <c r="C104" s="1006"/>
      <c r="D104" s="1006"/>
      <c r="E104" s="1006"/>
      <c r="F104" s="1007">
        <v>78062.92</v>
      </c>
      <c r="G104" s="1007"/>
      <c r="H104" s="1007"/>
    </row>
    <row r="105" spans="1:8" ht="11.25" customHeight="1">
      <c r="A105" s="358" t="s">
        <v>523</v>
      </c>
      <c r="B105" s="1006">
        <v>0</v>
      </c>
      <c r="C105" s="1006"/>
      <c r="D105" s="1006"/>
      <c r="E105" s="1006"/>
      <c r="F105" s="1007">
        <v>0</v>
      </c>
      <c r="G105" s="1007"/>
      <c r="H105" s="1007"/>
    </row>
    <row r="106" spans="1:8" ht="11.25" customHeight="1">
      <c r="A106" s="301" t="s">
        <v>605</v>
      </c>
      <c r="B106" s="1008">
        <v>-1008979.57</v>
      </c>
      <c r="C106" s="1008"/>
      <c r="D106" s="1008"/>
      <c r="E106" s="1008"/>
      <c r="F106" s="1007">
        <v>-1570878.05</v>
      </c>
      <c r="G106" s="1007"/>
      <c r="H106" s="1007"/>
    </row>
    <row r="107" spans="1:8" ht="11.25" customHeight="1">
      <c r="A107" s="359" t="s">
        <v>606</v>
      </c>
      <c r="B107" s="1009"/>
      <c r="C107" s="1009"/>
      <c r="D107" s="1009"/>
      <c r="E107" s="1009"/>
      <c r="F107" s="1010">
        <v>561898.48</v>
      </c>
      <c r="G107" s="1010"/>
      <c r="H107" s="1010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79" t="s">
        <v>540</v>
      </c>
      <c r="C109" s="979"/>
      <c r="D109" s="979"/>
      <c r="E109" s="979"/>
      <c r="F109" s="979"/>
      <c r="G109" s="979"/>
      <c r="H109" s="979"/>
    </row>
    <row r="110" spans="1:8" ht="11.25" customHeight="1">
      <c r="A110" s="365" t="s">
        <v>607</v>
      </c>
      <c r="B110" s="979"/>
      <c r="C110" s="979"/>
      <c r="D110" s="979"/>
      <c r="E110" s="979"/>
      <c r="F110" s="979"/>
      <c r="G110" s="979"/>
      <c r="H110" s="979"/>
    </row>
    <row r="111" spans="1:8" ht="11.25" customHeight="1">
      <c r="A111" s="366"/>
      <c r="B111" s="979"/>
      <c r="C111" s="979"/>
      <c r="D111" s="979"/>
      <c r="E111" s="979"/>
      <c r="F111" s="979"/>
      <c r="G111" s="979"/>
      <c r="H111" s="979"/>
    </row>
    <row r="112" spans="1:8" ht="11.25" customHeight="1">
      <c r="A112" s="367" t="s">
        <v>608</v>
      </c>
      <c r="B112" s="1006">
        <v>-1968.02</v>
      </c>
      <c r="C112" s="1006"/>
      <c r="D112" s="1006"/>
      <c r="E112" s="1006"/>
      <c r="F112" s="1006"/>
      <c r="G112" s="1006"/>
      <c r="H112" s="1006"/>
    </row>
    <row r="113" spans="1:8" ht="11.25" customHeight="1">
      <c r="A113" s="303" t="s">
        <v>609</v>
      </c>
      <c r="B113" s="1006">
        <v>0</v>
      </c>
      <c r="C113" s="1006"/>
      <c r="D113" s="1006"/>
      <c r="E113" s="1006"/>
      <c r="F113" s="1006"/>
      <c r="G113" s="1006"/>
      <c r="H113" s="1006"/>
    </row>
    <row r="114" spans="1:8" ht="11.25" customHeight="1">
      <c r="A114" s="303" t="s">
        <v>610</v>
      </c>
      <c r="B114" s="1006">
        <v>0</v>
      </c>
      <c r="C114" s="1006"/>
      <c r="D114" s="1006"/>
      <c r="E114" s="1006"/>
      <c r="F114" s="1006"/>
      <c r="G114" s="1006"/>
      <c r="H114" s="1006"/>
    </row>
    <row r="115" spans="1:8" ht="11.25" customHeight="1">
      <c r="A115" s="303" t="s">
        <v>611</v>
      </c>
      <c r="B115" s="1006">
        <v>0</v>
      </c>
      <c r="C115" s="1006"/>
      <c r="D115" s="1006"/>
      <c r="E115" s="1006"/>
      <c r="F115" s="1006"/>
      <c r="G115" s="1006"/>
      <c r="H115" s="1006"/>
    </row>
    <row r="116" spans="1:8" ht="26.25" customHeight="1">
      <c r="A116" s="368" t="s">
        <v>612</v>
      </c>
      <c r="B116" s="1011">
        <v>563866.5</v>
      </c>
      <c r="C116" s="1011"/>
      <c r="D116" s="1011"/>
      <c r="E116" s="1011"/>
      <c r="F116" s="1011"/>
      <c r="G116" s="1011"/>
      <c r="H116" s="1011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12">
        <v>557105.13</v>
      </c>
      <c r="C118" s="1012"/>
      <c r="D118" s="1012"/>
      <c r="E118" s="1012"/>
      <c r="F118" s="1012"/>
      <c r="G118" s="1012"/>
      <c r="H118" s="1012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991" t="s">
        <v>614</v>
      </c>
      <c r="B120" s="1013" t="s">
        <v>455</v>
      </c>
      <c r="C120" s="1013"/>
      <c r="D120" s="1013"/>
      <c r="E120" s="1013"/>
      <c r="F120" s="1013"/>
      <c r="G120" s="1013"/>
      <c r="H120" s="1013"/>
    </row>
    <row r="121" spans="1:8" ht="11.25" customHeight="1">
      <c r="A121" s="991"/>
      <c r="B121" s="1013"/>
      <c r="C121" s="1013"/>
      <c r="D121" s="1013"/>
      <c r="E121" s="1013"/>
      <c r="F121" s="1013"/>
      <c r="G121" s="1013"/>
      <c r="H121" s="1013"/>
    </row>
    <row r="122" spans="1:8" ht="11.25" customHeight="1">
      <c r="A122" s="371" t="s">
        <v>615</v>
      </c>
      <c r="B122" s="1014">
        <v>0</v>
      </c>
      <c r="C122" s="1014"/>
      <c r="D122" s="1014"/>
      <c r="E122" s="1014"/>
      <c r="F122" s="1014"/>
      <c r="G122" s="1014"/>
      <c r="H122" s="1014"/>
    </row>
    <row r="123" spans="1:8" ht="11.25" customHeight="1">
      <c r="A123" s="372" t="s">
        <v>120</v>
      </c>
      <c r="B123" s="999">
        <v>0</v>
      </c>
      <c r="C123" s="999"/>
      <c r="D123" s="999"/>
      <c r="E123" s="999"/>
      <c r="F123" s="999"/>
      <c r="G123" s="999"/>
      <c r="H123" s="999"/>
    </row>
    <row r="124" spans="1:8" ht="11.25" customHeight="1">
      <c r="A124" s="373" t="s">
        <v>616</v>
      </c>
      <c r="B124" s="999">
        <v>0</v>
      </c>
      <c r="C124" s="999"/>
      <c r="D124" s="999"/>
      <c r="E124" s="999"/>
      <c r="F124" s="999"/>
      <c r="G124" s="999"/>
      <c r="H124" s="999"/>
    </row>
    <row r="125" spans="1:8" ht="11.25" customHeight="1">
      <c r="A125" s="371" t="s">
        <v>457</v>
      </c>
      <c r="B125" s="1014">
        <v>0</v>
      </c>
      <c r="C125" s="1014"/>
      <c r="D125" s="1014"/>
      <c r="E125" s="1014"/>
      <c r="F125" s="1014"/>
      <c r="G125" s="1014"/>
      <c r="H125" s="1014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15" t="s">
        <v>617</v>
      </c>
      <c r="B129" s="1015"/>
      <c r="C129" s="1015"/>
      <c r="D129" s="1015"/>
      <c r="E129" s="1015"/>
      <c r="F129" s="1015"/>
      <c r="G129" s="1015"/>
      <c r="H129" s="1015"/>
    </row>
    <row r="130" spans="1:8" ht="11.25" customHeight="1">
      <c r="A130" s="1016" t="s">
        <v>618</v>
      </c>
      <c r="B130" s="1016"/>
      <c r="C130" s="1016"/>
      <c r="D130" s="1016"/>
      <c r="E130" s="1016"/>
      <c r="F130" s="1016"/>
      <c r="G130" s="1016"/>
      <c r="H130" s="1016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1017" t="s">
        <v>619</v>
      </c>
      <c r="B132" s="1017"/>
      <c r="C132" s="1017"/>
      <c r="D132" s="1017"/>
      <c r="E132" s="1017"/>
      <c r="F132" s="1017"/>
      <c r="G132" s="1017"/>
      <c r="H132" s="1017"/>
    </row>
    <row r="133" spans="1:8" ht="11.25" customHeight="1">
      <c r="A133" s="1017"/>
      <c r="B133" s="1017"/>
      <c r="C133" s="1017"/>
      <c r="D133" s="1017"/>
      <c r="E133" s="1017"/>
      <c r="F133" s="1017"/>
      <c r="G133" s="1017"/>
      <c r="H133" s="1017"/>
    </row>
    <row r="134" spans="1:8" ht="11.25" customHeight="1">
      <c r="A134" s="293"/>
      <c r="B134" s="979" t="s">
        <v>33</v>
      </c>
      <c r="C134" s="979"/>
      <c r="D134" s="978" t="s">
        <v>34</v>
      </c>
      <c r="E134" s="978"/>
      <c r="F134" s="978"/>
      <c r="G134" s="978"/>
      <c r="H134" s="978"/>
    </row>
    <row r="135" spans="1:8" ht="11.25" customHeight="1">
      <c r="A135" s="375" t="s">
        <v>541</v>
      </c>
      <c r="B135" s="979"/>
      <c r="C135" s="979"/>
      <c r="D135" s="1018" t="s">
        <v>410</v>
      </c>
      <c r="E135" s="1018"/>
      <c r="F135" s="1019" t="s">
        <v>410</v>
      </c>
      <c r="G135" s="1019"/>
      <c r="H135" s="1019"/>
    </row>
    <row r="136" spans="1:8" ht="11.25" customHeight="1">
      <c r="A136" s="296"/>
      <c r="B136" s="979"/>
      <c r="C136" s="979"/>
      <c r="D136" s="1020" t="s">
        <v>620</v>
      </c>
      <c r="E136" s="1020"/>
      <c r="F136" s="1021" t="s">
        <v>621</v>
      </c>
      <c r="G136" s="1021"/>
      <c r="H136" s="1021"/>
    </row>
    <row r="137" spans="1:8" ht="11.25" customHeight="1">
      <c r="A137" s="378" t="s">
        <v>622</v>
      </c>
      <c r="B137" s="1011">
        <v>0</v>
      </c>
      <c r="C137" s="1011"/>
      <c r="D137" s="1011">
        <v>0</v>
      </c>
      <c r="E137" s="1011"/>
      <c r="F137" s="1022">
        <v>0</v>
      </c>
      <c r="G137" s="1022"/>
      <c r="H137" s="1022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78" t="s">
        <v>125</v>
      </c>
      <c r="D139" s="978"/>
      <c r="E139" s="978" t="s">
        <v>126</v>
      </c>
      <c r="F139" s="978"/>
      <c r="G139" s="978" t="s">
        <v>194</v>
      </c>
      <c r="H139" s="978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1023" t="s">
        <v>623</v>
      </c>
      <c r="H140" s="1023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1023"/>
      <c r="H141" s="1023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1024" t="s">
        <v>627</v>
      </c>
      <c r="B146" s="1024"/>
      <c r="C146" s="1024"/>
      <c r="D146" s="1024"/>
      <c r="E146" s="998" t="s">
        <v>532</v>
      </c>
      <c r="F146" s="998"/>
      <c r="G146" s="998"/>
      <c r="H146" s="998"/>
    </row>
    <row r="147" spans="1:8" ht="11.25" customHeight="1">
      <c r="A147" s="1024"/>
      <c r="B147" s="1024"/>
      <c r="C147" s="1024"/>
      <c r="D147" s="1024"/>
      <c r="E147" s="998"/>
      <c r="F147" s="998"/>
      <c r="G147" s="998"/>
      <c r="H147" s="998"/>
    </row>
    <row r="148" spans="1:8" ht="11.25" customHeight="1">
      <c r="A148" s="1025" t="s">
        <v>628</v>
      </c>
      <c r="B148" s="1025"/>
      <c r="C148" s="1025"/>
      <c r="D148" s="1025"/>
      <c r="E148" s="1026">
        <v>0</v>
      </c>
      <c r="F148" s="1026"/>
      <c r="G148" s="1026"/>
      <c r="H148" s="1026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1017" t="s">
        <v>629</v>
      </c>
      <c r="B150" s="1017"/>
      <c r="C150" s="1017"/>
      <c r="D150" s="1017"/>
      <c r="E150" s="1017"/>
      <c r="F150" s="1017"/>
      <c r="G150" s="1017"/>
      <c r="H150" s="1017"/>
    </row>
    <row r="151" spans="1:8" ht="11.25" customHeight="1">
      <c r="A151" s="1017"/>
      <c r="B151" s="1017"/>
      <c r="C151" s="1017"/>
      <c r="D151" s="1017"/>
      <c r="E151" s="1017"/>
      <c r="F151" s="1017"/>
      <c r="G151" s="1017"/>
      <c r="H151" s="1017"/>
    </row>
    <row r="152" spans="1:8" ht="11.25" customHeight="1">
      <c r="A152" s="389"/>
      <c r="B152" s="979" t="s">
        <v>465</v>
      </c>
      <c r="C152" s="979"/>
      <c r="D152" s="979"/>
      <c r="E152" s="979"/>
      <c r="F152" s="979"/>
      <c r="G152" s="979"/>
      <c r="H152" s="979"/>
    </row>
    <row r="153" spans="1:8" ht="11.25" customHeight="1">
      <c r="A153" s="375" t="s">
        <v>528</v>
      </c>
      <c r="B153" s="390"/>
      <c r="C153" s="391" t="s">
        <v>36</v>
      </c>
      <c r="D153" s="392"/>
      <c r="E153" s="1027" t="s">
        <v>38</v>
      </c>
      <c r="F153" s="1027"/>
      <c r="G153" s="1027"/>
      <c r="H153" s="1027"/>
    </row>
    <row r="154" spans="1:8" ht="11.25" customHeight="1">
      <c r="A154" s="296"/>
      <c r="B154" s="381"/>
      <c r="C154" s="393" t="s">
        <v>529</v>
      </c>
      <c r="D154" s="394"/>
      <c r="E154" s="1021" t="s">
        <v>530</v>
      </c>
      <c r="F154" s="1021"/>
      <c r="G154" s="1021"/>
      <c r="H154" s="1021"/>
    </row>
    <row r="155" spans="1:8" ht="11.25" customHeight="1">
      <c r="A155" s="395" t="s">
        <v>456</v>
      </c>
      <c r="B155" s="1028">
        <v>0</v>
      </c>
      <c r="C155" s="1028"/>
      <c r="D155" s="1028"/>
      <c r="E155" s="999">
        <v>0</v>
      </c>
      <c r="F155" s="999"/>
      <c r="G155" s="999"/>
      <c r="H155" s="999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1029" t="s">
        <v>630</v>
      </c>
      <c r="B157" s="1029"/>
      <c r="C157" s="1029"/>
      <c r="D157" s="1029"/>
      <c r="E157" s="1002" t="s">
        <v>532</v>
      </c>
      <c r="F157" s="1002"/>
      <c r="G157" s="1002"/>
      <c r="H157" s="1002"/>
    </row>
    <row r="158" spans="1:8" ht="11.25" customHeight="1">
      <c r="A158" s="1029"/>
      <c r="B158" s="1029"/>
      <c r="C158" s="1029"/>
      <c r="D158" s="1029"/>
      <c r="E158" s="993"/>
      <c r="F158" s="993"/>
      <c r="G158" s="993"/>
      <c r="H158" s="993"/>
    </row>
    <row r="159" spans="1:8" ht="11.25" customHeight="1">
      <c r="A159" s="395" t="s">
        <v>533</v>
      </c>
      <c r="B159" s="397"/>
      <c r="C159" s="397"/>
      <c r="D159" s="397"/>
      <c r="E159" s="1030">
        <v>0</v>
      </c>
      <c r="F159" s="1030"/>
      <c r="G159" s="1030"/>
      <c r="H159" s="1030"/>
    </row>
    <row r="160" spans="1:8" ht="11.25" customHeight="1">
      <c r="A160" s="1031" t="s">
        <v>159</v>
      </c>
      <c r="B160" s="1031"/>
      <c r="C160" s="1031"/>
      <c r="D160" s="1031"/>
      <c r="E160" s="1031"/>
      <c r="F160" s="1031"/>
      <c r="G160" s="1031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  <mergeCell ref="E155:H155"/>
    <mergeCell ref="G140:G141"/>
    <mergeCell ref="H140:H141"/>
    <mergeCell ref="A146:D147"/>
    <mergeCell ref="E146:H147"/>
    <mergeCell ref="A148:D148"/>
    <mergeCell ref="E148:H148"/>
    <mergeCell ref="B137:C137"/>
    <mergeCell ref="D137:E137"/>
    <mergeCell ref="F137:H137"/>
    <mergeCell ref="C139:D139"/>
    <mergeCell ref="E139:F139"/>
    <mergeCell ref="G139:H139"/>
    <mergeCell ref="A132:H133"/>
    <mergeCell ref="B134:C136"/>
    <mergeCell ref="D134:H134"/>
    <mergeCell ref="D135:E135"/>
    <mergeCell ref="F135:H135"/>
    <mergeCell ref="D136:E136"/>
    <mergeCell ref="F136:H136"/>
    <mergeCell ref="B122:H122"/>
    <mergeCell ref="B123:H123"/>
    <mergeCell ref="B124:H124"/>
    <mergeCell ref="B125:H125"/>
    <mergeCell ref="A129:H129"/>
    <mergeCell ref="A130:H130"/>
    <mergeCell ref="B113:H113"/>
    <mergeCell ref="B114:H114"/>
    <mergeCell ref="B115:H115"/>
    <mergeCell ref="B116:H116"/>
    <mergeCell ref="B118:H118"/>
    <mergeCell ref="A120:A121"/>
    <mergeCell ref="B120:H121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E1">
      <selection activeCell="M19" sqref="M19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870" t="str">
        <f>+'Informações Iniciais'!A1:B1</f>
        <v>ESTADO DO MARANHÃO - MUNICÍPIO DE SÃO FRANCISCO DO BREJÃO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</row>
    <row r="4" spans="1:12" ht="12.75" customHeight="1">
      <c r="A4" s="870" t="s">
        <v>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</row>
    <row r="5" spans="1:12" ht="12.75" customHeight="1">
      <c r="A5" s="869" t="s">
        <v>633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</row>
    <row r="6" spans="1:12" ht="12.7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</row>
    <row r="7" spans="1:12" ht="12.75" customHeight="1">
      <c r="A7" s="870" t="str">
        <f>+'Informações Iniciais'!A5:B5</f>
        <v>3º Bimestre de 2018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635</v>
      </c>
      <c r="B10" s="921" t="s">
        <v>636</v>
      </c>
      <c r="C10" s="921"/>
      <c r="D10" s="921"/>
      <c r="E10" s="921"/>
      <c r="F10" s="921"/>
      <c r="G10" s="911" t="s">
        <v>637</v>
      </c>
      <c r="H10" s="911"/>
      <c r="I10" s="911"/>
      <c r="J10" s="911"/>
      <c r="K10" s="911"/>
      <c r="L10" s="911"/>
      <c r="M10" s="921" t="s">
        <v>638</v>
      </c>
    </row>
    <row r="11" spans="1:13" ht="12.75" customHeight="1">
      <c r="A11" s="915"/>
      <c r="B11" s="874" t="s">
        <v>639</v>
      </c>
      <c r="C11" s="874"/>
      <c r="D11" s="1032" t="s">
        <v>640</v>
      </c>
      <c r="E11" s="911" t="s">
        <v>641</v>
      </c>
      <c r="F11" s="1033" t="s">
        <v>642</v>
      </c>
      <c r="G11" s="874" t="s">
        <v>639</v>
      </c>
      <c r="H11" s="874"/>
      <c r="I11" s="911" t="s">
        <v>643</v>
      </c>
      <c r="J11" s="911" t="s">
        <v>640</v>
      </c>
      <c r="K11" s="911" t="s">
        <v>641</v>
      </c>
      <c r="L11" s="1033" t="s">
        <v>642</v>
      </c>
      <c r="M11" s="921"/>
    </row>
    <row r="12" spans="1:13" ht="12.75" customHeight="1">
      <c r="A12" s="915"/>
      <c r="B12" s="921" t="s">
        <v>644</v>
      </c>
      <c r="C12" s="921" t="s">
        <v>645</v>
      </c>
      <c r="D12" s="1032"/>
      <c r="E12" s="911"/>
      <c r="F12" s="1033"/>
      <c r="G12" s="921" t="s">
        <v>646</v>
      </c>
      <c r="H12" s="921" t="s">
        <v>647</v>
      </c>
      <c r="I12" s="911"/>
      <c r="J12" s="911"/>
      <c r="K12" s="911"/>
      <c r="L12" s="1033"/>
      <c r="M12" s="921"/>
    </row>
    <row r="13" spans="1:13" ht="12.75" customHeight="1">
      <c r="A13" s="915"/>
      <c r="B13" s="921"/>
      <c r="C13" s="921"/>
      <c r="D13" s="1032"/>
      <c r="E13" s="911"/>
      <c r="F13" s="1033"/>
      <c r="G13" s="921"/>
      <c r="H13" s="921"/>
      <c r="I13" s="911"/>
      <c r="J13" s="911"/>
      <c r="K13" s="911"/>
      <c r="L13" s="1033"/>
      <c r="M13" s="921"/>
    </row>
    <row r="14" spans="1:13" ht="12.75" customHeight="1">
      <c r="A14" s="915"/>
      <c r="B14" s="921"/>
      <c r="C14" s="921"/>
      <c r="D14" s="1032"/>
      <c r="E14" s="911"/>
      <c r="F14" s="1033"/>
      <c r="G14" s="921"/>
      <c r="H14" s="921"/>
      <c r="I14" s="911"/>
      <c r="J14" s="911"/>
      <c r="K14" s="911"/>
      <c r="L14" s="1033"/>
      <c r="M14" s="921"/>
    </row>
    <row r="15" spans="1:13" s="404" customFormat="1" ht="15" customHeight="1">
      <c r="A15" s="915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61178.7</v>
      </c>
      <c r="C16" s="52">
        <f t="shared" si="0"/>
        <v>14916.2</v>
      </c>
      <c r="D16" s="52">
        <f t="shared" si="0"/>
        <v>0</v>
      </c>
      <c r="E16" s="52">
        <f t="shared" si="0"/>
        <v>0</v>
      </c>
      <c r="F16" s="52">
        <f t="shared" si="0"/>
        <v>76094.9</v>
      </c>
      <c r="G16" s="52">
        <f t="shared" si="0"/>
        <v>0</v>
      </c>
      <c r="H16" s="52">
        <f t="shared" si="0"/>
        <v>1443070.79</v>
      </c>
      <c r="I16" s="52">
        <f t="shared" si="0"/>
        <v>525159.52</v>
      </c>
      <c r="J16" s="52">
        <f t="shared" si="0"/>
        <v>523191.5</v>
      </c>
      <c r="K16" s="52">
        <f t="shared" si="0"/>
        <v>0</v>
      </c>
      <c r="L16" s="52">
        <f t="shared" si="0"/>
        <v>919879.29</v>
      </c>
      <c r="M16" s="52">
        <f t="shared" si="0"/>
        <v>995974.1900000001</v>
      </c>
    </row>
    <row r="17" spans="1:13" ht="12.75" customHeight="1">
      <c r="A17" s="149" t="s">
        <v>654</v>
      </c>
      <c r="B17" s="98">
        <v>61178.7</v>
      </c>
      <c r="C17" s="98">
        <v>14916.2</v>
      </c>
      <c r="D17" s="98">
        <v>0</v>
      </c>
      <c r="E17" s="98">
        <v>0</v>
      </c>
      <c r="F17" s="98">
        <v>76094.9</v>
      </c>
      <c r="G17" s="98">
        <v>0</v>
      </c>
      <c r="H17" s="98">
        <v>1443070.79</v>
      </c>
      <c r="I17" s="98">
        <v>525159.52</v>
      </c>
      <c r="J17" s="98">
        <v>523191.5</v>
      </c>
      <c r="K17" s="99">
        <v>0</v>
      </c>
      <c r="L17" s="99">
        <v>919879.29</v>
      </c>
      <c r="M17" s="52">
        <f>F17+L17</f>
        <v>995974.1900000001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61178.7</v>
      </c>
      <c r="C21" s="405">
        <f t="shared" si="1"/>
        <v>14916.2</v>
      </c>
      <c r="D21" s="405">
        <f t="shared" si="1"/>
        <v>0</v>
      </c>
      <c r="E21" s="405">
        <f t="shared" si="1"/>
        <v>0</v>
      </c>
      <c r="F21" s="405">
        <f t="shared" si="1"/>
        <v>76094.9</v>
      </c>
      <c r="G21" s="405">
        <f t="shared" si="1"/>
        <v>0</v>
      </c>
      <c r="H21" s="405">
        <f t="shared" si="1"/>
        <v>1443070.79</v>
      </c>
      <c r="I21" s="405">
        <f t="shared" si="1"/>
        <v>525159.52</v>
      </c>
      <c r="J21" s="405">
        <f t="shared" si="1"/>
        <v>523191.5</v>
      </c>
      <c r="K21" s="405">
        <f t="shared" si="1"/>
        <v>0</v>
      </c>
      <c r="L21" s="405">
        <f t="shared" si="1"/>
        <v>919879.29</v>
      </c>
      <c r="M21" s="84">
        <f t="shared" si="1"/>
        <v>995974.1900000001</v>
      </c>
    </row>
    <row r="22" spans="1:13" ht="12.75" customHeight="1">
      <c r="A22" s="1034" t="s">
        <v>658</v>
      </c>
      <c r="B22" s="1034"/>
      <c r="C22" s="1034"/>
      <c r="D22" s="1034"/>
      <c r="E22" s="1034"/>
      <c r="F22" s="1034"/>
      <c r="G22" s="1034"/>
      <c r="H22" s="1034"/>
      <c r="I22" s="1034"/>
      <c r="J22" s="1034"/>
      <c r="K22" s="1034"/>
      <c r="L22" s="1034"/>
      <c r="M22" s="1034"/>
    </row>
  </sheetData>
  <sheetProtection password="F3F6" sheet="1"/>
  <mergeCells count="23"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0:L10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90" zoomScaleNormal="90" zoomScalePageLayoutView="0" workbookViewId="0" topLeftCell="A115">
      <selection activeCell="C151" sqref="C151:E151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035" t="s">
        <v>659</v>
      </c>
      <c r="B1" s="1035"/>
      <c r="C1" s="1035"/>
      <c r="D1" s="1035"/>
      <c r="E1" s="1035"/>
      <c r="F1" s="1035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036" t="str">
        <f>+'Informações Iniciais'!A1:B1</f>
        <v>ESTADO DO MARANHÃO - MUNICÍPIO DE SÃO FRANCISCO DO BREJÃO</v>
      </c>
      <c r="B3" s="1036"/>
      <c r="C3" s="1036"/>
      <c r="D3" s="1036"/>
      <c r="E3" s="1036"/>
      <c r="F3" s="1036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037" t="s">
        <v>0</v>
      </c>
      <c r="B4" s="1037"/>
      <c r="C4" s="1037"/>
      <c r="D4" s="1037"/>
      <c r="E4" s="1037"/>
      <c r="F4" s="1037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038" t="s">
        <v>660</v>
      </c>
      <c r="B5" s="1038"/>
      <c r="C5" s="1038"/>
      <c r="D5" s="1038"/>
      <c r="E5" s="1038"/>
      <c r="F5" s="1038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037" t="s">
        <v>28</v>
      </c>
      <c r="B6" s="1037"/>
      <c r="C6" s="1037"/>
      <c r="D6" s="1037"/>
      <c r="E6" s="1037"/>
      <c r="F6" s="1037"/>
      <c r="IA6" s="412"/>
      <c r="IB6" s="412"/>
      <c r="IC6" s="412"/>
      <c r="ID6" s="412"/>
      <c r="IE6" s="412"/>
      <c r="IF6" s="412"/>
      <c r="IG6" s="412"/>
      <c r="IH6" s="412"/>
      <c r="II6" s="1039" t="s">
        <v>1</v>
      </c>
      <c r="IJ6" s="1039"/>
      <c r="IK6" s="1039"/>
      <c r="IL6" s="1039"/>
      <c r="IM6" s="1039"/>
      <c r="IN6" s="1039"/>
      <c r="IO6" s="413">
        <f>IF($A$7=IP6,1,0)</f>
        <v>0</v>
      </c>
      <c r="IP6" s="864" t="s">
        <v>661</v>
      </c>
      <c r="IQ6" s="864"/>
      <c r="IR6" s="864"/>
      <c r="IS6" s="864"/>
      <c r="IT6" s="864"/>
      <c r="IU6" s="864"/>
      <c r="IV6" s="864"/>
    </row>
    <row r="7" spans="1:256" s="411" customFormat="1" ht="12.75" customHeight="1">
      <c r="A7" s="1038" t="str">
        <f>+'Informações Iniciais'!A5:B5</f>
        <v>3º Bimestre de 2018</v>
      </c>
      <c r="B7" s="1038"/>
      <c r="C7" s="1038"/>
      <c r="D7" s="1038"/>
      <c r="E7" s="1038"/>
      <c r="F7" s="1038"/>
      <c r="G7" s="1038"/>
      <c r="H7" s="1038"/>
      <c r="IA7" s="412"/>
      <c r="IB7" s="412"/>
      <c r="IC7" s="412"/>
      <c r="ID7" s="412"/>
      <c r="IE7" s="412"/>
      <c r="IF7" s="412"/>
      <c r="IG7" s="412"/>
      <c r="IH7" s="412"/>
      <c r="II7" s="1039"/>
      <c r="IJ7" s="1039"/>
      <c r="IK7" s="1039"/>
      <c r="IL7" s="1039"/>
      <c r="IM7" s="1039"/>
      <c r="IN7" s="1039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040" t="str">
        <f>IF($D$119&lt;&gt;($F$119+$H$119),"HÁ ERRO NO QUADRO DESPESAS COM MDE - VERIFIQUE!!!","")</f>
        <v>HÁ ERRO NO QUADRO DESPESAS COM MDE - VERIFIQUE!!!</v>
      </c>
      <c r="B8" s="1040"/>
      <c r="C8" s="1040"/>
      <c r="D8" s="1040"/>
      <c r="E8" s="1040"/>
      <c r="F8" s="1040"/>
      <c r="G8" s="1040"/>
      <c r="H8" s="1040"/>
      <c r="IA8" s="412"/>
      <c r="IB8" s="412"/>
      <c r="IC8" s="412"/>
      <c r="ID8" s="412"/>
      <c r="IE8" s="412"/>
      <c r="IF8" s="412"/>
      <c r="IG8" s="412"/>
      <c r="IH8" s="412"/>
      <c r="II8" s="1039"/>
      <c r="IJ8" s="1039"/>
      <c r="IK8" s="1039"/>
      <c r="IL8" s="1039"/>
      <c r="IM8" s="1039"/>
      <c r="IN8" s="1039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5</v>
      </c>
    </row>
    <row r="9" spans="1:256" s="411" customFormat="1" ht="12.75" customHeight="1">
      <c r="A9" s="411" t="s">
        <v>662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039"/>
      <c r="IJ9" s="1039"/>
      <c r="IK9" s="1039"/>
      <c r="IL9" s="1039"/>
      <c r="IM9" s="1039"/>
      <c r="IN9" s="1039"/>
      <c r="IO9" s="413"/>
      <c r="IP9" s="413"/>
      <c r="IQ9" s="413"/>
      <c r="IR9" s="413"/>
      <c r="IS9" s="413"/>
      <c r="IT9" s="413">
        <f t="shared" si="0"/>
        <v>1</v>
      </c>
      <c r="IU9" s="413"/>
      <c r="IV9" s="414" t="s">
        <v>2</v>
      </c>
    </row>
    <row r="10" spans="1:256" s="411" customFormat="1" ht="12.75" customHeight="1">
      <c r="A10" s="1041" t="s">
        <v>663</v>
      </c>
      <c r="B10" s="1041"/>
      <c r="C10" s="1041"/>
      <c r="D10" s="1041"/>
      <c r="E10" s="1041"/>
      <c r="F10" s="1041"/>
      <c r="G10" s="1041"/>
      <c r="H10" s="1041"/>
      <c r="IA10" s="412"/>
      <c r="IB10" s="412"/>
      <c r="IC10" s="412"/>
      <c r="ID10" s="412"/>
      <c r="IE10" s="412"/>
      <c r="IF10" s="412"/>
      <c r="IG10" s="412"/>
      <c r="IH10" s="412"/>
      <c r="II10" s="1039"/>
      <c r="IJ10" s="1039"/>
      <c r="IK10" s="1039"/>
      <c r="IL10" s="1039"/>
      <c r="IM10" s="1039"/>
      <c r="IN10" s="1039"/>
      <c r="IO10" s="413"/>
      <c r="IP10" s="413"/>
      <c r="IQ10" s="413"/>
      <c r="IR10" s="413"/>
      <c r="IS10" s="413"/>
      <c r="IT10" s="413">
        <f t="shared" si="0"/>
        <v>0</v>
      </c>
      <c r="IU10" s="413"/>
      <c r="IV10" s="414" t="s">
        <v>7</v>
      </c>
    </row>
    <row r="11" spans="1:256" s="411" customFormat="1" ht="12.75" customHeight="1">
      <c r="A11" s="417"/>
      <c r="B11" s="1042" t="s">
        <v>32</v>
      </c>
      <c r="C11" s="1042"/>
      <c r="D11" s="1043" t="s">
        <v>33</v>
      </c>
      <c r="E11" s="1043"/>
      <c r="F11" s="1044" t="s">
        <v>34</v>
      </c>
      <c r="G11" s="1044"/>
      <c r="H11" s="1044"/>
      <c r="IA11" s="412"/>
      <c r="IB11" s="412"/>
      <c r="IC11" s="412"/>
      <c r="ID11" s="412"/>
      <c r="IE11" s="412"/>
      <c r="IF11" s="412"/>
      <c r="IG11" s="412"/>
      <c r="IH11" s="412"/>
      <c r="II11" s="1039"/>
      <c r="IJ11" s="1039"/>
      <c r="IK11" s="1039"/>
      <c r="IL11" s="1039"/>
      <c r="IM11" s="1039"/>
      <c r="IN11" s="1039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9</v>
      </c>
    </row>
    <row r="12" spans="1:256" s="411" customFormat="1" ht="12.75" customHeight="1">
      <c r="A12" s="418" t="s">
        <v>664</v>
      </c>
      <c r="B12" s="1042"/>
      <c r="C12" s="1042"/>
      <c r="D12" s="1043"/>
      <c r="E12" s="1043"/>
      <c r="F12" s="1045" t="s">
        <v>38</v>
      </c>
      <c r="G12" s="1045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039"/>
      <c r="IJ12" s="1039"/>
      <c r="IK12" s="1039"/>
      <c r="IL12" s="1039"/>
      <c r="IM12" s="1039"/>
      <c r="IN12" s="1039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11</v>
      </c>
    </row>
    <row r="13" spans="1:256" s="411" customFormat="1" ht="12.75" customHeight="1">
      <c r="A13" s="422"/>
      <c r="B13" s="1042"/>
      <c r="C13" s="1042"/>
      <c r="D13" s="1046" t="s">
        <v>39</v>
      </c>
      <c r="E13" s="1046"/>
      <c r="F13" s="1046" t="s">
        <v>40</v>
      </c>
      <c r="G13" s="1046"/>
      <c r="H13" s="424" t="s">
        <v>665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666</v>
      </c>
      <c r="B14" s="1047">
        <f>B15+B18+B21+B24+B25</f>
        <v>151500</v>
      </c>
      <c r="C14" s="1047"/>
      <c r="D14" s="1047">
        <f>D15+D18+D21+D24+D25</f>
        <v>151500</v>
      </c>
      <c r="E14" s="1047"/>
      <c r="F14" s="1047">
        <f>F15+F18+F21+F24+F25</f>
        <v>196776.34999999998</v>
      </c>
      <c r="G14" s="1047"/>
      <c r="H14" s="130">
        <f aca="true" t="shared" si="1" ref="H14:H39">IF(D14="",0,IF(D14=0,0,F14/D14))</f>
        <v>1.2988537953795378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667</v>
      </c>
      <c r="IV14" s="413">
        <f>+'Informações Iniciais'!C23</f>
        <v>0</v>
      </c>
    </row>
    <row r="15" spans="1:256" s="411" customFormat="1" ht="12.75" customHeight="1">
      <c r="A15" s="428" t="s">
        <v>668</v>
      </c>
      <c r="B15" s="957">
        <f>+B16+B17</f>
        <v>0</v>
      </c>
      <c r="C15" s="957"/>
      <c r="D15" s="957">
        <f>+D16+D17</f>
        <v>0</v>
      </c>
      <c r="E15" s="957"/>
      <c r="F15" s="957">
        <f>+F16+F17</f>
        <v>0</v>
      </c>
      <c r="G15" s="957"/>
      <c r="H15" s="130">
        <f t="shared" si="1"/>
        <v>0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669</v>
      </c>
      <c r="B16" s="882"/>
      <c r="C16" s="882"/>
      <c r="D16" s="882"/>
      <c r="E16" s="882"/>
      <c r="F16" s="882">
        <v>0</v>
      </c>
      <c r="G16" s="882"/>
      <c r="H16" s="130">
        <f t="shared" si="1"/>
        <v>0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670</v>
      </c>
      <c r="B17" s="882"/>
      <c r="C17" s="882"/>
      <c r="D17" s="882"/>
      <c r="E17" s="882"/>
      <c r="F17" s="882"/>
      <c r="G17" s="882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671</v>
      </c>
      <c r="B18" s="957">
        <f>+B19+B20</f>
        <v>0</v>
      </c>
      <c r="C18" s="957"/>
      <c r="D18" s="957">
        <f>+D19+D20</f>
        <v>0</v>
      </c>
      <c r="E18" s="957"/>
      <c r="F18" s="957">
        <f>+F19+F20</f>
        <v>0</v>
      </c>
      <c r="G18" s="957"/>
      <c r="H18" s="130">
        <f t="shared" si="1"/>
        <v>0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672</v>
      </c>
      <c r="B19" s="882"/>
      <c r="C19" s="882"/>
      <c r="D19" s="882"/>
      <c r="E19" s="882"/>
      <c r="F19" s="882"/>
      <c r="G19" s="882"/>
      <c r="H19" s="130">
        <f t="shared" si="1"/>
        <v>0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673</v>
      </c>
      <c r="B20" s="882"/>
      <c r="C20" s="882"/>
      <c r="D20" s="882"/>
      <c r="E20" s="882"/>
      <c r="F20" s="882"/>
      <c r="G20" s="882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674</v>
      </c>
      <c r="B21" s="957">
        <f>+B22+B23</f>
        <v>100000</v>
      </c>
      <c r="C21" s="957"/>
      <c r="D21" s="957">
        <f>+D22+D23</f>
        <v>100000</v>
      </c>
      <c r="E21" s="957"/>
      <c r="F21" s="957">
        <f>+F22+F23</f>
        <v>147357.4</v>
      </c>
      <c r="G21" s="957"/>
      <c r="H21" s="130">
        <f t="shared" si="1"/>
        <v>1.473574</v>
      </c>
      <c r="IV21" s="412"/>
    </row>
    <row r="22" spans="1:256" s="411" customFormat="1" ht="12.75" customHeight="1">
      <c r="A22" s="428" t="s">
        <v>675</v>
      </c>
      <c r="B22" s="882">
        <v>100000</v>
      </c>
      <c r="C22" s="882"/>
      <c r="D22" s="882">
        <v>100000</v>
      </c>
      <c r="E22" s="882"/>
      <c r="F22" s="882">
        <v>147357.4</v>
      </c>
      <c r="G22" s="882"/>
      <c r="H22" s="130">
        <f t="shared" si="1"/>
        <v>1.473574</v>
      </c>
      <c r="IV22" s="412"/>
    </row>
    <row r="23" spans="1:256" s="411" customFormat="1" ht="12.75" customHeight="1">
      <c r="A23" s="428" t="s">
        <v>676</v>
      </c>
      <c r="B23" s="882"/>
      <c r="C23" s="882"/>
      <c r="D23" s="882"/>
      <c r="E23" s="882"/>
      <c r="F23" s="882"/>
      <c r="G23" s="882"/>
      <c r="H23" s="130">
        <f t="shared" si="1"/>
        <v>0</v>
      </c>
      <c r="IV23" s="412"/>
    </row>
    <row r="24" spans="1:256" s="411" customFormat="1" ht="12.75" customHeight="1">
      <c r="A24" s="428" t="s">
        <v>677</v>
      </c>
      <c r="B24" s="882">
        <v>51500</v>
      </c>
      <c r="C24" s="882"/>
      <c r="D24" s="882">
        <v>51500</v>
      </c>
      <c r="E24" s="882"/>
      <c r="F24" s="882">
        <v>49418.95</v>
      </c>
      <c r="G24" s="882"/>
      <c r="H24" s="130">
        <f t="shared" si="1"/>
        <v>0.9595912621359223</v>
      </c>
      <c r="IV24" s="412"/>
    </row>
    <row r="25" spans="1:256" s="411" customFormat="1" ht="12.75" customHeight="1">
      <c r="A25" s="428" t="s">
        <v>678</v>
      </c>
      <c r="B25" s="957">
        <f>+B26+B27</f>
        <v>0</v>
      </c>
      <c r="C25" s="957"/>
      <c r="D25" s="957">
        <f>+D26+D27</f>
        <v>0</v>
      </c>
      <c r="E25" s="957"/>
      <c r="F25" s="957">
        <f>+F26+F27</f>
        <v>0</v>
      </c>
      <c r="G25" s="957"/>
      <c r="H25" s="130">
        <f t="shared" si="1"/>
        <v>0</v>
      </c>
      <c r="IV25" s="412"/>
    </row>
    <row r="26" spans="1:256" s="411" customFormat="1" ht="12.75" customHeight="1">
      <c r="A26" s="429" t="s">
        <v>679</v>
      </c>
      <c r="B26" s="882"/>
      <c r="C26" s="882"/>
      <c r="D26" s="882"/>
      <c r="E26" s="882"/>
      <c r="F26" s="882"/>
      <c r="G26" s="882"/>
      <c r="H26" s="130">
        <f t="shared" si="1"/>
        <v>0</v>
      </c>
      <c r="IV26" s="412"/>
    </row>
    <row r="27" spans="1:256" s="411" customFormat="1" ht="12.75" customHeight="1">
      <c r="A27" s="428" t="s">
        <v>680</v>
      </c>
      <c r="B27" s="882"/>
      <c r="C27" s="882"/>
      <c r="D27" s="882"/>
      <c r="E27" s="882"/>
      <c r="F27" s="882"/>
      <c r="G27" s="882"/>
      <c r="H27" s="130">
        <f t="shared" si="1"/>
        <v>0</v>
      </c>
      <c r="IV27" s="412"/>
    </row>
    <row r="28" spans="1:256" s="411" customFormat="1" ht="12.75" customHeight="1">
      <c r="A28" s="428" t="s">
        <v>681</v>
      </c>
      <c r="B28" s="1047">
        <f>SUM(B29,B33:C38)</f>
        <v>14130000</v>
      </c>
      <c r="C28" s="1047"/>
      <c r="D28" s="1047">
        <f>SUM(D29,D33:E38)</f>
        <v>14130000</v>
      </c>
      <c r="E28" s="1047"/>
      <c r="F28" s="1047">
        <f>SUM(F29,F33:G38)</f>
        <v>6008426.53</v>
      </c>
      <c r="G28" s="1047"/>
      <c r="H28" s="130">
        <f t="shared" si="1"/>
        <v>0.42522480750176933</v>
      </c>
      <c r="I28" s="430"/>
      <c r="IV28" s="412"/>
    </row>
    <row r="29" spans="1:256" s="411" customFormat="1" ht="12.75" customHeight="1">
      <c r="A29" s="428" t="s">
        <v>682</v>
      </c>
      <c r="B29" s="957">
        <f>SUM(B30:B31)</f>
        <v>12000000</v>
      </c>
      <c r="C29" s="957"/>
      <c r="D29" s="957">
        <f>SUM(D30:D31)</f>
        <v>12000000</v>
      </c>
      <c r="E29" s="957"/>
      <c r="F29" s="957">
        <f>SUM(F30:F31)</f>
        <v>5043947.38</v>
      </c>
      <c r="G29" s="957"/>
      <c r="H29" s="130">
        <f t="shared" si="1"/>
        <v>0.42032894833333334</v>
      </c>
      <c r="IV29" s="412"/>
    </row>
    <row r="30" spans="1:256" s="411" customFormat="1" ht="12.75" customHeight="1">
      <c r="A30" s="428" t="s">
        <v>683</v>
      </c>
      <c r="B30" s="882">
        <v>12000000</v>
      </c>
      <c r="C30" s="882"/>
      <c r="D30" s="882">
        <v>12000000</v>
      </c>
      <c r="E30" s="882"/>
      <c r="F30" s="882">
        <v>5043947.38</v>
      </c>
      <c r="G30" s="882"/>
      <c r="H30" s="130">
        <f t="shared" si="1"/>
        <v>0.42032894833333334</v>
      </c>
      <c r="IV30" s="412"/>
    </row>
    <row r="31" spans="1:256" s="411" customFormat="1" ht="12.75" customHeight="1">
      <c r="A31" s="428" t="s">
        <v>684</v>
      </c>
      <c r="B31" s="882"/>
      <c r="C31" s="882"/>
      <c r="D31" s="882"/>
      <c r="E31" s="882"/>
      <c r="F31" s="882"/>
      <c r="G31" s="882"/>
      <c r="H31" s="130">
        <f t="shared" si="1"/>
        <v>0</v>
      </c>
      <c r="IV31" s="412"/>
    </row>
    <row r="32" spans="1:256" s="411" customFormat="1" ht="12.75" customHeight="1">
      <c r="A32" s="428" t="s">
        <v>685</v>
      </c>
      <c r="B32" s="883"/>
      <c r="C32" s="883"/>
      <c r="D32" s="883"/>
      <c r="E32" s="883"/>
      <c r="F32" s="883"/>
      <c r="G32" s="883"/>
      <c r="H32" s="130">
        <f t="shared" si="1"/>
        <v>0</v>
      </c>
      <c r="IV32" s="412"/>
    </row>
    <row r="33" spans="1:256" s="411" customFormat="1" ht="12.75" customHeight="1">
      <c r="A33" s="428" t="s">
        <v>686</v>
      </c>
      <c r="B33" s="882">
        <v>2000000</v>
      </c>
      <c r="C33" s="882"/>
      <c r="D33" s="882">
        <v>2000000</v>
      </c>
      <c r="E33" s="882"/>
      <c r="F33" s="882">
        <v>821534.4</v>
      </c>
      <c r="G33" s="882"/>
      <c r="H33" s="130">
        <f t="shared" si="1"/>
        <v>0.4107672</v>
      </c>
      <c r="IV33" s="412"/>
    </row>
    <row r="34" spans="1:256" s="411" customFormat="1" ht="12.75" customHeight="1">
      <c r="A34" s="428" t="s">
        <v>687</v>
      </c>
      <c r="B34" s="882">
        <v>10000</v>
      </c>
      <c r="C34" s="882"/>
      <c r="D34" s="882">
        <v>10000</v>
      </c>
      <c r="E34" s="882"/>
      <c r="F34" s="882">
        <v>5726.94</v>
      </c>
      <c r="G34" s="882"/>
      <c r="H34" s="130">
        <f t="shared" si="1"/>
        <v>0.5726939999999999</v>
      </c>
      <c r="IV34" s="412"/>
    </row>
    <row r="35" spans="1:256" s="411" customFormat="1" ht="12.75" customHeight="1">
      <c r="A35" s="428" t="s">
        <v>688</v>
      </c>
      <c r="B35" s="882">
        <v>10000</v>
      </c>
      <c r="C35" s="882"/>
      <c r="D35" s="882">
        <v>10000</v>
      </c>
      <c r="E35" s="882"/>
      <c r="F35" s="882">
        <v>8889.21</v>
      </c>
      <c r="G35" s="882"/>
      <c r="H35" s="130">
        <f t="shared" si="1"/>
        <v>0.888921</v>
      </c>
      <c r="IV35" s="412"/>
    </row>
    <row r="36" spans="1:256" s="411" customFormat="1" ht="12.75" customHeight="1">
      <c r="A36" s="428" t="s">
        <v>689</v>
      </c>
      <c r="B36" s="882">
        <v>10000</v>
      </c>
      <c r="C36" s="882"/>
      <c r="D36" s="882">
        <v>10000</v>
      </c>
      <c r="E36" s="882"/>
      <c r="F36" s="882">
        <v>2684.42</v>
      </c>
      <c r="G36" s="882"/>
      <c r="H36" s="130">
        <f t="shared" si="1"/>
        <v>0.268442</v>
      </c>
      <c r="IV36" s="412"/>
    </row>
    <row r="37" spans="1:256" s="411" customFormat="1" ht="12.75" customHeight="1">
      <c r="A37" s="428" t="s">
        <v>690</v>
      </c>
      <c r="B37" s="882">
        <v>100000</v>
      </c>
      <c r="C37" s="882"/>
      <c r="D37" s="882">
        <v>100000</v>
      </c>
      <c r="E37" s="882"/>
      <c r="F37" s="882">
        <v>125644.18</v>
      </c>
      <c r="G37" s="882"/>
      <c r="H37" s="130">
        <f t="shared" si="1"/>
        <v>1.2564418</v>
      </c>
      <c r="IV37" s="412"/>
    </row>
    <row r="38" spans="1:256" s="411" customFormat="1" ht="12.75" customHeight="1">
      <c r="A38" s="428" t="s">
        <v>691</v>
      </c>
      <c r="B38" s="882"/>
      <c r="C38" s="882"/>
      <c r="D38" s="882"/>
      <c r="E38" s="882"/>
      <c r="F38" s="882">
        <v>0</v>
      </c>
      <c r="G38" s="882"/>
      <c r="H38" s="130">
        <f t="shared" si="1"/>
        <v>0</v>
      </c>
      <c r="IV38" s="412"/>
    </row>
    <row r="39" spans="1:256" s="411" customFormat="1" ht="12.75" customHeight="1">
      <c r="A39" s="431" t="s">
        <v>692</v>
      </c>
      <c r="B39" s="1048">
        <f>B14+B28</f>
        <v>14281500</v>
      </c>
      <c r="C39" s="1048"/>
      <c r="D39" s="1048">
        <f>D14+D28</f>
        <v>14281500</v>
      </c>
      <c r="E39" s="1048"/>
      <c r="F39" s="1048">
        <f>F14+F28</f>
        <v>6205202.88</v>
      </c>
      <c r="G39" s="1048"/>
      <c r="H39" s="432">
        <f t="shared" si="1"/>
        <v>0.4344923768511711</v>
      </c>
      <c r="I39" s="430"/>
      <c r="IV39" s="412"/>
    </row>
    <row r="40" spans="1:256" s="411" customFormat="1" ht="12.75" customHeight="1">
      <c r="A40" s="433"/>
      <c r="B40" s="1042" t="s">
        <v>32</v>
      </c>
      <c r="C40" s="1042"/>
      <c r="D40" s="1043" t="s">
        <v>33</v>
      </c>
      <c r="E40" s="1043"/>
      <c r="F40" s="1044" t="s">
        <v>34</v>
      </c>
      <c r="G40" s="1044"/>
      <c r="H40" s="1044"/>
      <c r="IV40" s="412"/>
    </row>
    <row r="41" spans="1:256" s="411" customFormat="1" ht="12.75" customHeight="1">
      <c r="A41" s="434" t="s">
        <v>693</v>
      </c>
      <c r="B41" s="1042"/>
      <c r="C41" s="1042"/>
      <c r="D41" s="1043"/>
      <c r="E41" s="1043"/>
      <c r="F41" s="1045" t="s">
        <v>38</v>
      </c>
      <c r="G41" s="1045"/>
      <c r="H41" s="420" t="s">
        <v>37</v>
      </c>
      <c r="IV41" s="412"/>
    </row>
    <row r="42" spans="1:256" s="411" customFormat="1" ht="12.75" customHeight="1">
      <c r="A42" s="422"/>
      <c r="B42" s="1042"/>
      <c r="C42" s="1042"/>
      <c r="D42" s="1046" t="s">
        <v>39</v>
      </c>
      <c r="E42" s="1046"/>
      <c r="F42" s="1046" t="s">
        <v>40</v>
      </c>
      <c r="G42" s="1046"/>
      <c r="H42" s="424" t="s">
        <v>665</v>
      </c>
      <c r="IV42" s="412"/>
    </row>
    <row r="43" spans="1:256" s="411" customFormat="1" ht="25.5" customHeight="1">
      <c r="A43" s="428" t="s">
        <v>694</v>
      </c>
      <c r="B43" s="883"/>
      <c r="C43" s="883"/>
      <c r="D43" s="883"/>
      <c r="E43" s="883"/>
      <c r="F43" s="883"/>
      <c r="G43" s="883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695</v>
      </c>
      <c r="B44" s="957">
        <f>SUM(B45:C50)</f>
        <v>660400</v>
      </c>
      <c r="C44" s="957"/>
      <c r="D44" s="957">
        <f>SUM(D45:E50)</f>
        <v>660400</v>
      </c>
      <c r="E44" s="957"/>
      <c r="F44" s="957">
        <f>SUM(F45:G50)</f>
        <v>242689.33000000002</v>
      </c>
      <c r="G44" s="957"/>
      <c r="H44" s="130">
        <f t="shared" si="2"/>
        <v>0.3674883858267717</v>
      </c>
      <c r="I44" s="27"/>
      <c r="IV44" s="412"/>
    </row>
    <row r="45" spans="1:256" s="411" customFormat="1" ht="12.75" customHeight="1">
      <c r="A45" s="428" t="s">
        <v>696</v>
      </c>
      <c r="B45" s="882">
        <v>150000</v>
      </c>
      <c r="C45" s="882"/>
      <c r="D45" s="882">
        <v>150000</v>
      </c>
      <c r="E45" s="882"/>
      <c r="F45" s="882">
        <v>83409.97</v>
      </c>
      <c r="G45" s="882"/>
      <c r="H45" s="130">
        <f t="shared" si="2"/>
        <v>0.5560664666666667</v>
      </c>
      <c r="I45" s="27"/>
      <c r="IV45" s="412"/>
    </row>
    <row r="46" spans="1:256" s="411" customFormat="1" ht="12.75" customHeight="1">
      <c r="A46" s="435" t="s">
        <v>697</v>
      </c>
      <c r="B46" s="882">
        <v>50000</v>
      </c>
      <c r="C46" s="882"/>
      <c r="D46" s="882">
        <v>50000</v>
      </c>
      <c r="E46" s="882"/>
      <c r="F46" s="882"/>
      <c r="G46" s="882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698</v>
      </c>
      <c r="B47" s="882">
        <v>210400</v>
      </c>
      <c r="C47" s="882"/>
      <c r="D47" s="882">
        <v>210400</v>
      </c>
      <c r="E47" s="882"/>
      <c r="F47" s="882">
        <v>99861.6</v>
      </c>
      <c r="G47" s="882"/>
      <c r="H47" s="130">
        <f t="shared" si="2"/>
        <v>0.47462737642585556</v>
      </c>
      <c r="I47" s="27"/>
      <c r="IV47" s="412"/>
    </row>
    <row r="48" spans="1:256" s="411" customFormat="1" ht="12.75" customHeight="1">
      <c r="A48" s="435" t="s">
        <v>699</v>
      </c>
      <c r="B48" s="882">
        <v>50000</v>
      </c>
      <c r="C48" s="882"/>
      <c r="D48" s="882">
        <v>50000</v>
      </c>
      <c r="E48" s="882"/>
      <c r="F48" s="882"/>
      <c r="G48" s="882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700</v>
      </c>
      <c r="B49" s="882">
        <v>200000</v>
      </c>
      <c r="C49" s="882"/>
      <c r="D49" s="882">
        <v>200000</v>
      </c>
      <c r="E49" s="882"/>
      <c r="F49" s="882">
        <v>59417.76</v>
      </c>
      <c r="G49" s="882"/>
      <c r="H49" s="130">
        <f t="shared" si="2"/>
        <v>0.2970888</v>
      </c>
      <c r="I49" s="27"/>
      <c r="IV49" s="412"/>
    </row>
    <row r="50" spans="1:256" s="411" customFormat="1" ht="12.75" customHeight="1">
      <c r="A50" s="428" t="s">
        <v>701</v>
      </c>
      <c r="B50" s="882"/>
      <c r="C50" s="882"/>
      <c r="D50" s="882"/>
      <c r="E50" s="882"/>
      <c r="F50" s="882"/>
      <c r="G50" s="882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702</v>
      </c>
      <c r="B51" s="957">
        <f>B52+B53</f>
        <v>275000</v>
      </c>
      <c r="C51" s="957"/>
      <c r="D51" s="957">
        <f>D52+D53</f>
        <v>275000</v>
      </c>
      <c r="E51" s="957"/>
      <c r="F51" s="957">
        <f>F52+F53</f>
        <v>0</v>
      </c>
      <c r="G51" s="957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703</v>
      </c>
      <c r="B52" s="882">
        <v>275000</v>
      </c>
      <c r="C52" s="882"/>
      <c r="D52" s="882">
        <v>275000</v>
      </c>
      <c r="E52" s="882"/>
      <c r="F52" s="882"/>
      <c r="G52" s="882"/>
      <c r="H52" s="130">
        <f t="shared" si="2"/>
        <v>0</v>
      </c>
      <c r="IV52" s="412"/>
    </row>
    <row r="53" spans="1:256" s="411" customFormat="1" ht="12.75" customHeight="1">
      <c r="A53" s="437" t="s">
        <v>704</v>
      </c>
      <c r="B53" s="882"/>
      <c r="C53" s="882"/>
      <c r="D53" s="882"/>
      <c r="E53" s="882"/>
      <c r="F53" s="882"/>
      <c r="G53" s="882"/>
      <c r="H53" s="130">
        <f t="shared" si="2"/>
        <v>0</v>
      </c>
      <c r="IV53" s="412"/>
    </row>
    <row r="54" spans="1:256" s="411" customFormat="1" ht="12.75" customHeight="1">
      <c r="A54" s="428" t="s">
        <v>705</v>
      </c>
      <c r="B54" s="882"/>
      <c r="C54" s="882"/>
      <c r="D54" s="882"/>
      <c r="E54" s="882"/>
      <c r="F54" s="882"/>
      <c r="G54" s="882"/>
      <c r="H54" s="130">
        <f t="shared" si="2"/>
        <v>0</v>
      </c>
      <c r="IV54" s="412"/>
    </row>
    <row r="55" spans="1:256" s="411" customFormat="1" ht="12.75" customHeight="1">
      <c r="A55" s="428" t="s">
        <v>706</v>
      </c>
      <c r="B55" s="882"/>
      <c r="C55" s="882"/>
      <c r="D55" s="882"/>
      <c r="E55" s="882"/>
      <c r="F55" s="882"/>
      <c r="G55" s="882"/>
      <c r="H55" s="130">
        <f t="shared" si="2"/>
        <v>0</v>
      </c>
      <c r="IV55" s="412"/>
    </row>
    <row r="56" spans="1:256" s="411" customFormat="1" ht="15" customHeight="1">
      <c r="A56" s="431" t="s">
        <v>707</v>
      </c>
      <c r="B56" s="1048">
        <f>SUM(B43,B44,B51,B54:C55)</f>
        <v>935400</v>
      </c>
      <c r="C56" s="1048"/>
      <c r="D56" s="1048">
        <f>SUM(D43,D44,D51,D54:E55)</f>
        <v>935400</v>
      </c>
      <c r="E56" s="1048"/>
      <c r="F56" s="1048">
        <f>SUM(F43,F44,F51,F54:G55)</f>
        <v>242689.33000000002</v>
      </c>
      <c r="G56" s="1048"/>
      <c r="H56" s="432">
        <f t="shared" si="2"/>
        <v>0.2594497861877272</v>
      </c>
      <c r="I56" s="430"/>
      <c r="IV56" s="412"/>
    </row>
    <row r="57" spans="1:256" s="411" customFormat="1" ht="12.75" customHeight="1">
      <c r="A57" s="1041" t="s">
        <v>708</v>
      </c>
      <c r="B57" s="1041"/>
      <c r="C57" s="1041"/>
      <c r="D57" s="1041"/>
      <c r="E57" s="1041"/>
      <c r="F57" s="1041"/>
      <c r="G57" s="1041"/>
      <c r="H57" s="1041"/>
      <c r="IV57" s="412"/>
    </row>
    <row r="58" spans="1:256" s="411" customFormat="1" ht="12.75" customHeight="1">
      <c r="A58" s="433"/>
      <c r="B58" s="1042" t="s">
        <v>32</v>
      </c>
      <c r="C58" s="1042"/>
      <c r="D58" s="1045" t="s">
        <v>709</v>
      </c>
      <c r="E58" s="1045"/>
      <c r="F58" s="1044" t="s">
        <v>34</v>
      </c>
      <c r="G58" s="1044"/>
      <c r="H58" s="1044"/>
      <c r="IV58" s="412"/>
    </row>
    <row r="59" spans="1:256" s="411" customFormat="1" ht="12.75" customHeight="1">
      <c r="A59" s="434" t="s">
        <v>710</v>
      </c>
      <c r="B59" s="1042"/>
      <c r="C59" s="1042"/>
      <c r="D59" s="1049" t="s">
        <v>205</v>
      </c>
      <c r="E59" s="1049"/>
      <c r="F59" s="1045" t="s">
        <v>38</v>
      </c>
      <c r="G59" s="1045"/>
      <c r="H59" s="420" t="s">
        <v>37</v>
      </c>
      <c r="IV59" s="412"/>
    </row>
    <row r="60" spans="1:256" s="411" customFormat="1" ht="12.75" customHeight="1">
      <c r="A60" s="439"/>
      <c r="B60" s="1042"/>
      <c r="C60" s="1042"/>
      <c r="D60" s="1046" t="s">
        <v>39</v>
      </c>
      <c r="E60" s="1046"/>
      <c r="F60" s="1046" t="s">
        <v>40</v>
      </c>
      <c r="G60" s="1046"/>
      <c r="H60" s="424" t="s">
        <v>665</v>
      </c>
      <c r="IV60" s="412"/>
    </row>
    <row r="61" spans="1:256" s="411" customFormat="1" ht="12.75" customHeight="1">
      <c r="A61" s="440" t="s">
        <v>711</v>
      </c>
      <c r="B61" s="957">
        <f>SUM(B62:C67)</f>
        <v>2824000</v>
      </c>
      <c r="C61" s="957"/>
      <c r="D61" s="957">
        <f>SUM(D62:E67)</f>
        <v>2824000</v>
      </c>
      <c r="E61" s="957"/>
      <c r="F61" s="957">
        <f>SUM(F62:G67)</f>
        <v>1069900.59</v>
      </c>
      <c r="G61" s="957"/>
      <c r="H61" s="130">
        <f aca="true" t="shared" si="3" ref="H61:H72">IF(D61="",0,IF(D61=0,0,F61/D61))</f>
        <v>0.3788599822946176</v>
      </c>
      <c r="IV61" s="412"/>
    </row>
    <row r="62" spans="1:256" s="411" customFormat="1" ht="12.75" customHeight="1">
      <c r="A62" s="428" t="s">
        <v>712</v>
      </c>
      <c r="B62" s="882">
        <v>2400000</v>
      </c>
      <c r="C62" s="882"/>
      <c r="D62" s="882">
        <v>2400000</v>
      </c>
      <c r="E62" s="882"/>
      <c r="F62" s="882">
        <v>1008789.32</v>
      </c>
      <c r="G62" s="882"/>
      <c r="H62" s="130">
        <f t="shared" si="3"/>
        <v>0.4203288833333333</v>
      </c>
      <c r="IV62" s="412"/>
    </row>
    <row r="63" spans="1:256" s="411" customFormat="1" ht="12.75" customHeight="1">
      <c r="A63" s="428" t="s">
        <v>713</v>
      </c>
      <c r="B63" s="882">
        <v>400000</v>
      </c>
      <c r="C63" s="882"/>
      <c r="D63" s="882">
        <v>400000</v>
      </c>
      <c r="E63" s="882"/>
      <c r="F63" s="882">
        <v>59965.93</v>
      </c>
      <c r="G63" s="882"/>
      <c r="H63" s="130">
        <f t="shared" si="3"/>
        <v>0.149914825</v>
      </c>
      <c r="IV63" s="412"/>
    </row>
    <row r="64" spans="1:256" s="411" customFormat="1" ht="12.75" customHeight="1">
      <c r="A64" s="428" t="s">
        <v>714</v>
      </c>
      <c r="B64" s="882">
        <v>2000</v>
      </c>
      <c r="C64" s="882"/>
      <c r="D64" s="882">
        <v>2000</v>
      </c>
      <c r="E64" s="882"/>
      <c r="F64" s="882">
        <v>1145.34</v>
      </c>
      <c r="G64" s="882"/>
      <c r="H64" s="130">
        <f t="shared" si="3"/>
        <v>0.57267</v>
      </c>
      <c r="IV64" s="412"/>
    </row>
    <row r="65" spans="1:256" s="411" customFormat="1" ht="12.75" customHeight="1">
      <c r="A65" s="428" t="s">
        <v>715</v>
      </c>
      <c r="B65" s="882">
        <v>2000</v>
      </c>
      <c r="C65" s="882"/>
      <c r="D65" s="882">
        <v>2000</v>
      </c>
      <c r="E65" s="882"/>
      <c r="F65" s="882"/>
      <c r="G65" s="882"/>
      <c r="H65" s="130">
        <f t="shared" si="3"/>
        <v>0</v>
      </c>
      <c r="IV65" s="412"/>
    </row>
    <row r="66" spans="1:256" s="411" customFormat="1" ht="15" customHeight="1">
      <c r="A66" s="428" t="s">
        <v>716</v>
      </c>
      <c r="B66" s="882"/>
      <c r="C66" s="882"/>
      <c r="D66" s="882"/>
      <c r="E66" s="882"/>
      <c r="F66" s="882"/>
      <c r="G66" s="882"/>
      <c r="H66" s="130">
        <f t="shared" si="3"/>
        <v>0</v>
      </c>
      <c r="IV66" s="412"/>
    </row>
    <row r="67" spans="1:256" s="411" customFormat="1" ht="12.75" customHeight="1">
      <c r="A67" s="428" t="s">
        <v>717</v>
      </c>
      <c r="B67" s="882">
        <v>20000</v>
      </c>
      <c r="C67" s="882"/>
      <c r="D67" s="882">
        <v>20000</v>
      </c>
      <c r="E67" s="882"/>
      <c r="F67" s="882"/>
      <c r="G67" s="882"/>
      <c r="H67" s="130">
        <f t="shared" si="3"/>
        <v>0</v>
      </c>
      <c r="IV67" s="412"/>
    </row>
    <row r="68" spans="1:256" s="411" customFormat="1" ht="12.75" customHeight="1">
      <c r="A68" s="428" t="s">
        <v>718</v>
      </c>
      <c r="B68" s="957">
        <f>SUM(B69:C71)</f>
        <v>8090000</v>
      </c>
      <c r="C68" s="957"/>
      <c r="D68" s="957">
        <f>SUM(D69:E71)</f>
        <v>8090000</v>
      </c>
      <c r="E68" s="957"/>
      <c r="F68" s="957">
        <f>SUM(F69:G71)</f>
        <v>4225981.88</v>
      </c>
      <c r="G68" s="957"/>
      <c r="H68" s="130">
        <f t="shared" si="3"/>
        <v>0.5223710605686032</v>
      </c>
      <c r="I68" s="27"/>
      <c r="IV68" s="412"/>
    </row>
    <row r="69" spans="1:256" s="411" customFormat="1" ht="12.75" customHeight="1">
      <c r="A69" s="428" t="s">
        <v>719</v>
      </c>
      <c r="B69" s="882">
        <v>4500000</v>
      </c>
      <c r="C69" s="882"/>
      <c r="D69" s="882">
        <v>4500000</v>
      </c>
      <c r="E69" s="882"/>
      <c r="F69" s="882">
        <v>2136639.79</v>
      </c>
      <c r="G69" s="882"/>
      <c r="H69" s="130">
        <f t="shared" si="3"/>
        <v>0.47480884222222225</v>
      </c>
      <c r="IV69" s="412"/>
    </row>
    <row r="70" spans="1:256" s="411" customFormat="1" ht="12.75" customHeight="1">
      <c r="A70" s="428" t="s">
        <v>720</v>
      </c>
      <c r="B70" s="882">
        <v>3580000</v>
      </c>
      <c r="C70" s="882"/>
      <c r="D70" s="882">
        <v>3580000</v>
      </c>
      <c r="E70" s="882"/>
      <c r="F70" s="882">
        <v>2084625.46</v>
      </c>
      <c r="G70" s="882"/>
      <c r="H70" s="130">
        <f t="shared" si="3"/>
        <v>0.5822976145251396</v>
      </c>
      <c r="IV70" s="412"/>
    </row>
    <row r="71" spans="1:256" s="411" customFormat="1" ht="15" customHeight="1">
      <c r="A71" s="428" t="s">
        <v>721</v>
      </c>
      <c r="B71" s="882">
        <v>10000</v>
      </c>
      <c r="C71" s="882"/>
      <c r="D71" s="882">
        <v>10000</v>
      </c>
      <c r="E71" s="882"/>
      <c r="F71" s="882">
        <v>4716.63</v>
      </c>
      <c r="G71" s="882"/>
      <c r="H71" s="130">
        <f t="shared" si="3"/>
        <v>0.471663</v>
      </c>
      <c r="IV71" s="412"/>
    </row>
    <row r="72" spans="1:256" s="411" customFormat="1" ht="15" customHeight="1">
      <c r="A72" s="431" t="s">
        <v>722</v>
      </c>
      <c r="B72" s="1048">
        <f>B69-B61</f>
        <v>1676000</v>
      </c>
      <c r="C72" s="1048"/>
      <c r="D72" s="1048">
        <f>D69-D61</f>
        <v>1676000</v>
      </c>
      <c r="E72" s="1048"/>
      <c r="F72" s="1048">
        <f>F69-F61</f>
        <v>1066739.2</v>
      </c>
      <c r="G72" s="1048"/>
      <c r="H72" s="441">
        <f t="shared" si="3"/>
        <v>0.6364792362768497</v>
      </c>
      <c r="IV72" s="412"/>
    </row>
    <row r="73" spans="1:256" s="411" customFormat="1" ht="15" customHeight="1">
      <c r="A73" s="1050" t="s">
        <v>723</v>
      </c>
      <c r="B73" s="1050"/>
      <c r="C73" s="1050"/>
      <c r="D73" s="1050"/>
      <c r="E73" s="1050"/>
      <c r="F73" s="1051">
        <f>IF(F72&gt;0,F72,0)</f>
        <v>1066739.2</v>
      </c>
      <c r="G73" s="1051"/>
      <c r="H73" s="1052"/>
      <c r="I73" s="442"/>
      <c r="J73" s="442"/>
      <c r="K73" s="442"/>
      <c r="L73" s="430"/>
      <c r="IV73" s="412"/>
    </row>
    <row r="74" spans="1:256" s="411" customFormat="1" ht="15" customHeight="1">
      <c r="A74" s="1053" t="s">
        <v>724</v>
      </c>
      <c r="B74" s="1053"/>
      <c r="C74" s="1053"/>
      <c r="D74" s="1053"/>
      <c r="E74" s="1053"/>
      <c r="F74" s="1051">
        <f>IF(F72&lt;0,F72,0)</f>
        <v>0</v>
      </c>
      <c r="G74" s="1051"/>
      <c r="H74" s="1052"/>
      <c r="I74" s="443"/>
      <c r="J74" s="443"/>
      <c r="K74" s="443"/>
      <c r="L74" s="430"/>
      <c r="IV74" s="412"/>
    </row>
    <row r="75" spans="1:256" s="411" customFormat="1" ht="44.25" customHeight="1">
      <c r="A75" s="1054" t="s">
        <v>725</v>
      </c>
      <c r="B75" s="1055" t="s">
        <v>123</v>
      </c>
      <c r="C75" s="1055" t="s">
        <v>124</v>
      </c>
      <c r="D75" s="1056" t="s">
        <v>125</v>
      </c>
      <c r="E75" s="1056"/>
      <c r="F75" s="1042" t="s">
        <v>126</v>
      </c>
      <c r="G75" s="1042"/>
      <c r="H75" s="1057" t="s">
        <v>726</v>
      </c>
      <c r="I75" s="444"/>
      <c r="J75" s="445"/>
      <c r="K75" s="446"/>
      <c r="L75" s="430"/>
      <c r="IV75" s="412"/>
    </row>
    <row r="76" spans="1:256" s="411" customFormat="1" ht="12.75" customHeight="1">
      <c r="A76" s="1054"/>
      <c r="B76" s="1055"/>
      <c r="C76" s="1055"/>
      <c r="D76" s="419" t="s">
        <v>38</v>
      </c>
      <c r="E76" s="420" t="s">
        <v>37</v>
      </c>
      <c r="F76" s="419" t="s">
        <v>38</v>
      </c>
      <c r="G76" s="420" t="s">
        <v>37</v>
      </c>
      <c r="H76" s="1057"/>
      <c r="I76" s="446"/>
      <c r="J76" s="446"/>
      <c r="K76" s="430"/>
      <c r="L76" s="430"/>
      <c r="IV76" s="412"/>
    </row>
    <row r="77" spans="1:256" s="411" customFormat="1" ht="12.75" customHeight="1">
      <c r="A77" s="1054"/>
      <c r="B77" s="1055"/>
      <c r="C77" s="438" t="s">
        <v>130</v>
      </c>
      <c r="D77" s="438" t="s">
        <v>131</v>
      </c>
      <c r="E77" s="434" t="s">
        <v>727</v>
      </c>
      <c r="F77" s="438" t="s">
        <v>649</v>
      </c>
      <c r="G77" s="434" t="s">
        <v>728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729</v>
      </c>
      <c r="B78" s="449">
        <f>SUM(B79:B80)</f>
        <v>6355000</v>
      </c>
      <c r="C78" s="449">
        <f>SUM(C79:C80)</f>
        <v>6220955.88</v>
      </c>
      <c r="D78" s="449">
        <f>SUM(D79:D80)</f>
        <v>3527112.35</v>
      </c>
      <c r="E78" s="450">
        <f aca="true" t="shared" si="4" ref="E78:E84">IF($C78="",0,IF($C78=0,0,D78/$C78))</f>
        <v>0.5669727318496912</v>
      </c>
      <c r="F78" s="449">
        <f>SUM(F79:F80)</f>
        <v>3527112.35</v>
      </c>
      <c r="G78" s="450">
        <f aca="true" t="shared" si="5" ref="G78:G84">IF($C78="",0,IF($C78=0,0,F78/$C78))</f>
        <v>0.5669727318496912</v>
      </c>
      <c r="H78" s="451">
        <f>SUM(H79:H80)</f>
        <v>0</v>
      </c>
      <c r="IV78" s="412"/>
    </row>
    <row r="79" spans="1:256" s="411" customFormat="1" ht="12.75" customHeight="1">
      <c r="A79" s="452" t="s">
        <v>730</v>
      </c>
      <c r="B79" s="453">
        <v>670000</v>
      </c>
      <c r="C79" s="453">
        <v>748075.6</v>
      </c>
      <c r="D79" s="453">
        <v>294880.4</v>
      </c>
      <c r="E79" s="454">
        <f t="shared" si="4"/>
        <v>0.39418529357193316</v>
      </c>
      <c r="F79" s="453">
        <v>294880.4</v>
      </c>
      <c r="G79" s="454">
        <f t="shared" si="5"/>
        <v>0.39418529357193316</v>
      </c>
      <c r="H79" s="455"/>
      <c r="IV79" s="412"/>
    </row>
    <row r="80" spans="1:256" s="411" customFormat="1" ht="12.75" customHeight="1">
      <c r="A80" s="452" t="s">
        <v>731</v>
      </c>
      <c r="B80" s="453">
        <v>5685000</v>
      </c>
      <c r="C80" s="453">
        <v>5472880.28</v>
      </c>
      <c r="D80" s="453">
        <v>3232231.95</v>
      </c>
      <c r="E80" s="454">
        <f t="shared" si="4"/>
        <v>0.5905906551275776</v>
      </c>
      <c r="F80" s="453">
        <v>3232231.95</v>
      </c>
      <c r="G80" s="454">
        <f t="shared" si="5"/>
        <v>0.5905906551275776</v>
      </c>
      <c r="H80" s="455"/>
      <c r="IV80" s="412"/>
    </row>
    <row r="81" spans="1:256" s="411" customFormat="1" ht="12.75" customHeight="1">
      <c r="A81" s="452" t="s">
        <v>732</v>
      </c>
      <c r="B81" s="456">
        <f>SUM(B82:B83)</f>
        <v>1315000</v>
      </c>
      <c r="C81" s="456">
        <f>SUM(C82:C83)</f>
        <v>1699044.12</v>
      </c>
      <c r="D81" s="456">
        <f>SUM(D82:D83)</f>
        <v>1287806.78</v>
      </c>
      <c r="E81" s="454">
        <f t="shared" si="4"/>
        <v>0.7579595873001814</v>
      </c>
      <c r="F81" s="456">
        <f>SUM(F82:F83)</f>
        <v>604914.93</v>
      </c>
      <c r="G81" s="454">
        <f t="shared" si="5"/>
        <v>0.3560325025579677</v>
      </c>
      <c r="H81" s="457">
        <f>SUM(H82:H83)</f>
        <v>682891.85</v>
      </c>
      <c r="IV81" s="412"/>
    </row>
    <row r="82" spans="1:256" s="411" customFormat="1" ht="12.75" customHeight="1">
      <c r="A82" s="452" t="s">
        <v>733</v>
      </c>
      <c r="B82" s="453">
        <v>130000</v>
      </c>
      <c r="C82" s="453">
        <v>130000</v>
      </c>
      <c r="D82" s="453">
        <v>3839.76</v>
      </c>
      <c r="E82" s="454">
        <f t="shared" si="4"/>
        <v>0.029536615384615387</v>
      </c>
      <c r="F82" s="453">
        <v>3839.76</v>
      </c>
      <c r="G82" s="454">
        <f t="shared" si="5"/>
        <v>0.029536615384615387</v>
      </c>
      <c r="H82" s="455"/>
      <c r="IV82" s="412"/>
    </row>
    <row r="83" spans="1:256" s="411" customFormat="1" ht="12.75" customHeight="1">
      <c r="A83" s="458" t="s">
        <v>734</v>
      </c>
      <c r="B83" s="459">
        <v>1185000</v>
      </c>
      <c r="C83" s="459">
        <v>1569044.12</v>
      </c>
      <c r="D83" s="459">
        <v>1283967.02</v>
      </c>
      <c r="E83" s="460">
        <f t="shared" si="4"/>
        <v>0.818311610001126</v>
      </c>
      <c r="F83" s="459">
        <v>601075.17</v>
      </c>
      <c r="G83" s="460">
        <f t="shared" si="5"/>
        <v>0.3830836637022036</v>
      </c>
      <c r="H83" s="461">
        <v>682891.85</v>
      </c>
      <c r="IV83" s="412"/>
    </row>
    <row r="84" spans="1:256" s="411" customFormat="1" ht="12.75" customHeight="1">
      <c r="A84" s="462" t="s">
        <v>735</v>
      </c>
      <c r="B84" s="463">
        <f>B78+B81</f>
        <v>7670000</v>
      </c>
      <c r="C84" s="463">
        <f>C78+C81</f>
        <v>7920000</v>
      </c>
      <c r="D84" s="463">
        <f>D78+D81</f>
        <v>4814919.13</v>
      </c>
      <c r="E84" s="51">
        <f t="shared" si="4"/>
        <v>0.6079443345959595</v>
      </c>
      <c r="F84" s="463">
        <f>F78+F81</f>
        <v>4132027.2800000003</v>
      </c>
      <c r="G84" s="51">
        <f t="shared" si="5"/>
        <v>0.5217206161616162</v>
      </c>
      <c r="H84" s="464">
        <f>H78+H81</f>
        <v>682891.85</v>
      </c>
      <c r="IV84" s="413">
        <f>IF($A$7=$IV$12,IF(D84&lt;&gt;(F84+H84),0,1),1)</f>
        <v>1</v>
      </c>
    </row>
    <row r="85" spans="1:256" s="465" customFormat="1" ht="12.75" customHeight="1">
      <c r="A85" s="1058" t="s">
        <v>736</v>
      </c>
      <c r="B85" s="1058"/>
      <c r="C85" s="1058"/>
      <c r="D85" s="1058"/>
      <c r="E85" s="1058"/>
      <c r="F85" s="1058"/>
      <c r="G85" s="1059" t="s">
        <v>456</v>
      </c>
      <c r="H85" s="1059"/>
      <c r="IV85" s="466"/>
    </row>
    <row r="86" spans="1:256" s="411" customFormat="1" ht="12.75" customHeight="1">
      <c r="A86" s="1060" t="s">
        <v>737</v>
      </c>
      <c r="B86" s="1060"/>
      <c r="C86" s="1060"/>
      <c r="D86" s="467"/>
      <c r="E86" s="467"/>
      <c r="F86" s="468"/>
      <c r="G86" s="1061">
        <f>SUM(G87:G88)</f>
        <v>0</v>
      </c>
      <c r="H86" s="1061"/>
      <c r="IV86" s="412"/>
    </row>
    <row r="87" spans="1:256" s="411" customFormat="1" ht="12.75" customHeight="1">
      <c r="A87" s="469" t="s">
        <v>738</v>
      </c>
      <c r="B87" s="469"/>
      <c r="C87" s="469"/>
      <c r="D87" s="469"/>
      <c r="E87" s="469"/>
      <c r="F87" s="470"/>
      <c r="G87" s="1062"/>
      <c r="H87" s="1062"/>
      <c r="IV87" s="412"/>
    </row>
    <row r="88" spans="1:256" s="411" customFormat="1" ht="12.75" customHeight="1">
      <c r="A88" s="469" t="s">
        <v>739</v>
      </c>
      <c r="B88" s="469"/>
      <c r="C88" s="469"/>
      <c r="D88" s="469"/>
      <c r="E88" s="469"/>
      <c r="F88" s="470"/>
      <c r="G88" s="1062"/>
      <c r="H88" s="1062"/>
      <c r="IV88" s="412"/>
    </row>
    <row r="89" spans="1:256" s="411" customFormat="1" ht="12.75" customHeight="1">
      <c r="A89" s="1063" t="s">
        <v>740</v>
      </c>
      <c r="B89" s="1063"/>
      <c r="C89" s="1063"/>
      <c r="D89" s="1063"/>
      <c r="E89" s="469"/>
      <c r="F89" s="470"/>
      <c r="G89" s="1064">
        <f>SUM(G90:G91)</f>
        <v>0</v>
      </c>
      <c r="H89" s="1064"/>
      <c r="IV89" s="412"/>
    </row>
    <row r="90" spans="1:256" s="411" customFormat="1" ht="12.75" customHeight="1">
      <c r="A90" s="469" t="s">
        <v>741</v>
      </c>
      <c r="B90" s="469"/>
      <c r="C90" s="469"/>
      <c r="D90" s="469"/>
      <c r="E90" s="469"/>
      <c r="F90" s="470"/>
      <c r="G90" s="1062"/>
      <c r="H90" s="1062"/>
      <c r="IV90" s="412"/>
    </row>
    <row r="91" spans="1:256" s="411" customFormat="1" ht="12.75" customHeight="1">
      <c r="A91" s="471" t="s">
        <v>742</v>
      </c>
      <c r="B91" s="471"/>
      <c r="C91" s="471"/>
      <c r="D91" s="471"/>
      <c r="E91" s="471"/>
      <c r="F91" s="472"/>
      <c r="G91" s="1062"/>
      <c r="H91" s="1062"/>
      <c r="IV91" s="412"/>
    </row>
    <row r="92" spans="1:256" s="411" customFormat="1" ht="12.75" customHeight="1">
      <c r="A92" s="473" t="s">
        <v>743</v>
      </c>
      <c r="B92" s="473"/>
      <c r="C92" s="473"/>
      <c r="D92" s="473"/>
      <c r="E92" s="473"/>
      <c r="F92" s="474"/>
      <c r="G92" s="1065">
        <f>G86+G89</f>
        <v>0</v>
      </c>
      <c r="H92" s="1065"/>
      <c r="IV92" s="412"/>
    </row>
    <row r="93" spans="1:256" s="411" customFormat="1" ht="15.75" customHeight="1">
      <c r="A93" s="1066" t="s">
        <v>744</v>
      </c>
      <c r="B93" s="1066"/>
      <c r="C93" s="1066"/>
      <c r="D93" s="1066"/>
      <c r="E93" s="1066"/>
      <c r="F93" s="1066"/>
      <c r="G93" s="1059" t="s">
        <v>456</v>
      </c>
      <c r="H93" s="1059"/>
      <c r="IV93" s="412"/>
    </row>
    <row r="94" spans="1:256" s="411" customFormat="1" ht="12.75" customHeight="1">
      <c r="A94" s="475" t="s">
        <v>745</v>
      </c>
      <c r="B94" s="475"/>
      <c r="C94" s="475"/>
      <c r="D94" s="475"/>
      <c r="E94" s="475"/>
      <c r="F94" s="476"/>
      <c r="G94" s="1067">
        <f>F84-G92</f>
        <v>4132027.2800000003</v>
      </c>
      <c r="H94" s="1067"/>
      <c r="IV94" s="412"/>
    </row>
    <row r="95" spans="1:256" s="411" customFormat="1" ht="14.25" customHeight="1">
      <c r="A95" s="477" t="s">
        <v>746</v>
      </c>
      <c r="B95" s="477"/>
      <c r="C95" s="477"/>
      <c r="D95" s="477"/>
      <c r="E95" s="477"/>
      <c r="F95" s="478"/>
      <c r="G95" s="1068">
        <f>IF(F$68="",0,IF(F$68=0,0,(F78-(G87+G90))/F$68))</f>
        <v>0.8346255261274335</v>
      </c>
      <c r="H95" s="1068"/>
      <c r="IV95" s="412"/>
    </row>
    <row r="96" spans="1:256" s="411" customFormat="1" ht="12.75" customHeight="1">
      <c r="A96" s="477" t="s">
        <v>747</v>
      </c>
      <c r="B96" s="477"/>
      <c r="C96" s="477"/>
      <c r="D96" s="477"/>
      <c r="E96" s="477"/>
      <c r="F96" s="478"/>
      <c r="G96" s="1068">
        <f>IF(F$68="",0,IF(F$68=0,0,(F81-(G88+G91))/F$68))</f>
        <v>0.14314186553019487</v>
      </c>
      <c r="H96" s="1068"/>
      <c r="IV96" s="412"/>
    </row>
    <row r="97" spans="1:256" s="411" customFormat="1" ht="13.5" customHeight="1">
      <c r="A97" s="1069" t="s">
        <v>748</v>
      </c>
      <c r="B97" s="1069"/>
      <c r="C97" s="1069"/>
      <c r="D97" s="1069"/>
      <c r="E97" s="1069"/>
      <c r="F97" s="1069"/>
      <c r="G97" s="1070">
        <f>IF(G95+G96=0,0,1-G95-G96)</f>
        <v>0.022232608342371674</v>
      </c>
      <c r="H97" s="1070"/>
      <c r="IV97" s="412"/>
    </row>
    <row r="98" spans="1:256" s="479" customFormat="1" ht="16.5" customHeight="1">
      <c r="A98" s="1066" t="s">
        <v>749</v>
      </c>
      <c r="B98" s="1066"/>
      <c r="C98" s="1066"/>
      <c r="D98" s="1066"/>
      <c r="E98" s="1066"/>
      <c r="F98" s="1066"/>
      <c r="G98" s="1059" t="s">
        <v>456</v>
      </c>
      <c r="H98" s="1059"/>
      <c r="IV98" s="480"/>
    </row>
    <row r="99" spans="1:256" s="411" customFormat="1" ht="18.75" customHeight="1">
      <c r="A99" s="1071" t="s">
        <v>750</v>
      </c>
      <c r="B99" s="1071"/>
      <c r="C99" s="1071"/>
      <c r="D99" s="1071"/>
      <c r="E99" s="1071"/>
      <c r="F99" s="1071"/>
      <c r="G99" s="1072"/>
      <c r="H99" s="1072"/>
      <c r="IV99" s="412"/>
    </row>
    <row r="100" spans="1:256" s="411" customFormat="1" ht="18.75" customHeight="1">
      <c r="A100" s="1073" t="s">
        <v>751</v>
      </c>
      <c r="B100" s="1073"/>
      <c r="C100" s="1073"/>
      <c r="D100" s="1073"/>
      <c r="E100" s="1073"/>
      <c r="F100" s="1073"/>
      <c r="G100" s="1074"/>
      <c r="H100" s="1074"/>
      <c r="IV100" s="412"/>
    </row>
    <row r="101" spans="1:256" s="411" customFormat="1" ht="12.75" customHeight="1">
      <c r="A101" s="1075" t="s">
        <v>752</v>
      </c>
      <c r="B101" s="1075"/>
      <c r="C101" s="1075"/>
      <c r="D101" s="1075"/>
      <c r="E101" s="1075"/>
      <c r="F101" s="1075"/>
      <c r="G101" s="1075"/>
      <c r="H101" s="1075"/>
      <c r="IV101" s="412"/>
    </row>
    <row r="102" spans="1:256" s="411" customFormat="1" ht="44.25" customHeight="1">
      <c r="A102" s="1066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76" t="s">
        <v>123</v>
      </c>
      <c r="C102" s="1076" t="s">
        <v>124</v>
      </c>
      <c r="D102" s="1056" t="str">
        <f>IF(IV119=0,"ERRO!!!","DESPESAS EMPENHADAS")</f>
        <v>DESPESAS EMPENHADAS</v>
      </c>
      <c r="E102" s="1056"/>
      <c r="F102" s="1042" t="str">
        <f>IF(IV119=0,"ERRO!!!","DESPESAS LIQUIDADAS")</f>
        <v>DESPESAS LIQUIDADAS</v>
      </c>
      <c r="G102" s="1042"/>
      <c r="H102" s="1057" t="s">
        <v>726</v>
      </c>
      <c r="I102" s="444"/>
      <c r="J102" s="445"/>
      <c r="K102" s="446"/>
      <c r="L102" s="430"/>
      <c r="IV102" s="412"/>
    </row>
    <row r="103" spans="1:256" s="411" customFormat="1" ht="12.75" customHeight="1">
      <c r="A103" s="1066"/>
      <c r="B103" s="1076"/>
      <c r="C103" s="1076"/>
      <c r="D103" s="419" t="s">
        <v>38</v>
      </c>
      <c r="E103" s="420" t="s">
        <v>37</v>
      </c>
      <c r="F103" s="419" t="s">
        <v>38</v>
      </c>
      <c r="G103" s="420" t="s">
        <v>37</v>
      </c>
      <c r="H103" s="1057"/>
      <c r="I103" s="446"/>
      <c r="J103" s="446"/>
      <c r="K103" s="430"/>
      <c r="L103" s="430"/>
      <c r="IV103" s="412"/>
    </row>
    <row r="104" spans="1:256" s="411" customFormat="1" ht="12.75" customHeight="1">
      <c r="A104" s="1066"/>
      <c r="B104" s="1076"/>
      <c r="C104" s="423" t="s">
        <v>130</v>
      </c>
      <c r="D104" s="423" t="s">
        <v>131</v>
      </c>
      <c r="E104" s="434" t="s">
        <v>727</v>
      </c>
      <c r="F104" s="423" t="s">
        <v>649</v>
      </c>
      <c r="G104" s="424" t="s">
        <v>728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753</v>
      </c>
      <c r="B105" s="481">
        <f>B106+B109</f>
        <v>1180000</v>
      </c>
      <c r="C105" s="481">
        <f>C106+C109</f>
        <v>1180000</v>
      </c>
      <c r="D105" s="482">
        <f>D106+D109</f>
        <v>298720.16</v>
      </c>
      <c r="E105" s="483">
        <f aca="true" t="shared" si="6" ref="E105:E119">IF($C105="",0,IF($C105=0,0,D105/$C105))</f>
        <v>0.2531526779661017</v>
      </c>
      <c r="F105" s="484">
        <f>F106+F109</f>
        <v>298720.16</v>
      </c>
      <c r="G105" s="483">
        <f aca="true" t="shared" si="7" ref="G105:G119">IF($C105="",0,IF($C105=0,0,F105/$C105))</f>
        <v>0.2531526779661017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754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755</v>
      </c>
      <c r="B107" s="486"/>
      <c r="C107" s="486"/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/>
      <c r="IV107" s="412"/>
    </row>
    <row r="108" spans="1:256" s="411" customFormat="1" ht="12.75" customHeight="1">
      <c r="A108" s="428" t="s">
        <v>756</v>
      </c>
      <c r="B108" s="486"/>
      <c r="C108" s="486"/>
      <c r="D108" s="455"/>
      <c r="E108" s="51">
        <f t="shared" si="6"/>
        <v>0</v>
      </c>
      <c r="F108" s="487"/>
      <c r="G108" s="51">
        <f t="shared" si="7"/>
        <v>0</v>
      </c>
      <c r="H108" s="455"/>
      <c r="IV108" s="412"/>
    </row>
    <row r="109" spans="1:256" s="411" customFormat="1" ht="12.75" customHeight="1">
      <c r="A109" s="428" t="s">
        <v>757</v>
      </c>
      <c r="B109" s="456">
        <f>SUM(B110:B111)</f>
        <v>1180000</v>
      </c>
      <c r="C109" s="456">
        <f>SUM(C110:C111)</f>
        <v>1180000</v>
      </c>
      <c r="D109" s="457">
        <f>SUM(D110:D111)</f>
        <v>298720.16</v>
      </c>
      <c r="E109" s="51">
        <f t="shared" si="6"/>
        <v>0.2531526779661017</v>
      </c>
      <c r="F109" s="485">
        <f>SUM(F110:F111)</f>
        <v>298720.16</v>
      </c>
      <c r="G109" s="51">
        <f t="shared" si="7"/>
        <v>0.2531526779661017</v>
      </c>
      <c r="H109" s="457">
        <f>SUM(H110:H111)</f>
        <v>0</v>
      </c>
      <c r="IV109" s="412"/>
    </row>
    <row r="110" spans="1:256" s="411" customFormat="1" ht="12.75" customHeight="1">
      <c r="A110" s="428" t="s">
        <v>758</v>
      </c>
      <c r="B110" s="486">
        <v>800000</v>
      </c>
      <c r="C110" s="486">
        <v>800000</v>
      </c>
      <c r="D110" s="455">
        <v>298720.16</v>
      </c>
      <c r="E110" s="51">
        <f t="shared" si="6"/>
        <v>0.37340019999999996</v>
      </c>
      <c r="F110" s="487">
        <v>298720.16</v>
      </c>
      <c r="G110" s="51">
        <f t="shared" si="7"/>
        <v>0.37340019999999996</v>
      </c>
      <c r="H110" s="455">
        <v>0</v>
      </c>
      <c r="IV110" s="412"/>
    </row>
    <row r="111" spans="1:256" s="411" customFormat="1" ht="12.75" customHeight="1">
      <c r="A111" s="428" t="s">
        <v>759</v>
      </c>
      <c r="B111" s="486">
        <v>380000</v>
      </c>
      <c r="C111" s="486">
        <v>380000</v>
      </c>
      <c r="D111" s="455"/>
      <c r="E111" s="51">
        <f t="shared" si="6"/>
        <v>0</v>
      </c>
      <c r="F111" s="487">
        <v>0</v>
      </c>
      <c r="G111" s="51">
        <f t="shared" si="7"/>
        <v>0</v>
      </c>
      <c r="H111" s="455"/>
      <c r="IV111" s="412"/>
    </row>
    <row r="112" spans="1:256" s="411" customFormat="1" ht="12.75" customHeight="1">
      <c r="A112" s="428" t="s">
        <v>760</v>
      </c>
      <c r="B112" s="456">
        <f>SUM(B113:B114)</f>
        <v>9147000</v>
      </c>
      <c r="C112" s="456">
        <f>SUM(C113:C114)</f>
        <v>9147000</v>
      </c>
      <c r="D112" s="457">
        <f>SUM(D113:D114)</f>
        <v>5479155.75</v>
      </c>
      <c r="E112" s="51">
        <f t="shared" si="6"/>
        <v>0.5990112331912102</v>
      </c>
      <c r="F112" s="485">
        <f>SUM(F113:F114)</f>
        <v>4143374.93</v>
      </c>
      <c r="G112" s="51">
        <f t="shared" si="7"/>
        <v>0.4529763780474473</v>
      </c>
      <c r="H112" s="457">
        <f>SUM(H113:H114)</f>
        <v>1335780.8199999998</v>
      </c>
      <c r="IV112" s="412"/>
    </row>
    <row r="113" spans="1:256" s="411" customFormat="1" ht="12.75" customHeight="1">
      <c r="A113" s="428" t="s">
        <v>761</v>
      </c>
      <c r="B113" s="486">
        <v>7290000</v>
      </c>
      <c r="C113" s="486">
        <v>7290000</v>
      </c>
      <c r="D113" s="455">
        <v>4516198.97</v>
      </c>
      <c r="E113" s="51">
        <f t="shared" si="6"/>
        <v>0.6195060315500686</v>
      </c>
      <c r="F113" s="487">
        <v>3833307.12</v>
      </c>
      <c r="G113" s="51">
        <f t="shared" si="7"/>
        <v>0.5258308806584362</v>
      </c>
      <c r="H113" s="455">
        <v>682891.85</v>
      </c>
      <c r="IV113" s="412"/>
    </row>
    <row r="114" spans="1:256" s="411" customFormat="1" ht="12.75" customHeight="1">
      <c r="A114" s="428" t="s">
        <v>762</v>
      </c>
      <c r="B114" s="486">
        <v>1857000</v>
      </c>
      <c r="C114" s="486">
        <v>1857000</v>
      </c>
      <c r="D114" s="455">
        <v>962956.78</v>
      </c>
      <c r="E114" s="51">
        <f t="shared" si="6"/>
        <v>0.5185550780829294</v>
      </c>
      <c r="F114" s="487">
        <v>310067.81</v>
      </c>
      <c r="G114" s="51">
        <f t="shared" si="7"/>
        <v>0.16697243403338718</v>
      </c>
      <c r="H114" s="455">
        <v>652888.97</v>
      </c>
      <c r="IV114" s="412"/>
    </row>
    <row r="115" spans="1:256" s="411" customFormat="1" ht="12.75" customHeight="1">
      <c r="A115" s="428" t="s">
        <v>763</v>
      </c>
      <c r="B115" s="486"/>
      <c r="C115" s="486"/>
      <c r="D115" s="455"/>
      <c r="E115" s="51">
        <f t="shared" si="6"/>
        <v>0</v>
      </c>
      <c r="F115" s="487"/>
      <c r="G115" s="51">
        <f t="shared" si="7"/>
        <v>0</v>
      </c>
      <c r="H115" s="455"/>
      <c r="IV115" s="412"/>
    </row>
    <row r="116" spans="1:256" s="411" customFormat="1" ht="12.75" customHeight="1">
      <c r="A116" s="428" t="s">
        <v>764</v>
      </c>
      <c r="B116" s="486">
        <v>100000</v>
      </c>
      <c r="C116" s="486">
        <v>100000</v>
      </c>
      <c r="D116" s="455"/>
      <c r="E116" s="51">
        <f t="shared" si="6"/>
        <v>0</v>
      </c>
      <c r="F116" s="487">
        <v>0</v>
      </c>
      <c r="G116" s="51">
        <f t="shared" si="7"/>
        <v>0</v>
      </c>
      <c r="H116" s="455"/>
      <c r="IV116" s="412"/>
    </row>
    <row r="117" spans="1:256" s="411" customFormat="1" ht="12.75" customHeight="1">
      <c r="A117" s="428" t="s">
        <v>765</v>
      </c>
      <c r="B117" s="486"/>
      <c r="C117" s="486"/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766</v>
      </c>
      <c r="B118" s="486">
        <v>520000</v>
      </c>
      <c r="C118" s="486">
        <v>520000</v>
      </c>
      <c r="D118" s="455">
        <v>617824.29</v>
      </c>
      <c r="E118" s="488">
        <f t="shared" si="6"/>
        <v>1.1881236346153847</v>
      </c>
      <c r="F118" s="487">
        <v>158727.14</v>
      </c>
      <c r="G118" s="488">
        <f t="shared" si="7"/>
        <v>0.30524450000000003</v>
      </c>
      <c r="H118" s="455">
        <v>459097.25</v>
      </c>
      <c r="IV118" s="412"/>
    </row>
    <row r="119" spans="1:256" s="411" customFormat="1" ht="12.75" customHeight="1">
      <c r="A119" s="462" t="s">
        <v>767</v>
      </c>
      <c r="B119" s="489">
        <f>SUM(B105,B112,B115:B118)</f>
        <v>10947000</v>
      </c>
      <c r="C119" s="489">
        <f>SUM(C105,C112,C115:C118)</f>
        <v>10947000</v>
      </c>
      <c r="D119" s="489">
        <f>SUM(D105,D112,D115:D118)</f>
        <v>6395700.2</v>
      </c>
      <c r="E119" s="490">
        <f t="shared" si="6"/>
        <v>0.5842422764227643</v>
      </c>
      <c r="F119" s="489">
        <f>SUM(F105,F112,F115:F118)</f>
        <v>4600822.2299999995</v>
      </c>
      <c r="G119" s="490">
        <f t="shared" si="7"/>
        <v>0.4202815593313236</v>
      </c>
      <c r="H119" s="491">
        <f>SUM(H105,H112,H115:H118)</f>
        <v>1794878.0699999998</v>
      </c>
      <c r="IV119" s="413">
        <f>IF($A$7=$IV$12,IF(D119&lt;&gt;(F119+H119),0,1),1)</f>
        <v>1</v>
      </c>
    </row>
    <row r="120" spans="1:256" s="411" customFormat="1" ht="12.75" customHeight="1">
      <c r="A120" s="1066" t="s">
        <v>768</v>
      </c>
      <c r="B120" s="1066"/>
      <c r="C120" s="1066"/>
      <c r="D120" s="1066"/>
      <c r="E120" s="1066"/>
      <c r="F120" s="1066"/>
      <c r="G120" s="1059" t="s">
        <v>456</v>
      </c>
      <c r="H120" s="1059"/>
      <c r="IV120" s="412"/>
    </row>
    <row r="121" spans="1:256" s="411" customFormat="1" ht="12.75" customHeight="1">
      <c r="A121" s="1066"/>
      <c r="B121" s="1066"/>
      <c r="C121" s="1066"/>
      <c r="D121" s="1066"/>
      <c r="E121" s="1066"/>
      <c r="F121" s="1066"/>
      <c r="G121" s="1059"/>
      <c r="H121" s="1059"/>
      <c r="IV121" s="412"/>
    </row>
    <row r="122" spans="1:256" s="411" customFormat="1" ht="12.75" customHeight="1">
      <c r="A122" s="1066"/>
      <c r="B122" s="1066"/>
      <c r="C122" s="1066"/>
      <c r="D122" s="1066"/>
      <c r="E122" s="1066"/>
      <c r="F122" s="1066"/>
      <c r="G122" s="1059"/>
      <c r="H122" s="1059"/>
      <c r="IV122" s="412"/>
    </row>
    <row r="123" spans="1:256" s="465" customFormat="1" ht="12.75" customHeight="1">
      <c r="A123" s="492" t="s">
        <v>769</v>
      </c>
      <c r="B123" s="492"/>
      <c r="C123" s="492"/>
      <c r="D123" s="492"/>
      <c r="E123" s="492"/>
      <c r="F123" s="493"/>
      <c r="G123" s="1077">
        <f>F72</f>
        <v>1066739.2</v>
      </c>
      <c r="H123" s="1077"/>
      <c r="IV123" s="466"/>
    </row>
    <row r="124" spans="1:256" s="465" customFormat="1" ht="12.75" customHeight="1">
      <c r="A124" s="494" t="s">
        <v>770</v>
      </c>
      <c r="B124" s="494"/>
      <c r="C124" s="494"/>
      <c r="D124" s="494"/>
      <c r="E124" s="494"/>
      <c r="F124" s="493"/>
      <c r="G124" s="885">
        <v>1784625.46</v>
      </c>
      <c r="H124" s="885"/>
      <c r="IV124" s="466"/>
    </row>
    <row r="125" spans="1:256" s="465" customFormat="1" ht="12.75" customHeight="1" hidden="1">
      <c r="A125" s="1078"/>
      <c r="B125" s="1078"/>
      <c r="C125" s="1078"/>
      <c r="D125" s="494"/>
      <c r="E125" s="494"/>
      <c r="F125" s="495"/>
      <c r="G125" s="1079"/>
      <c r="H125" s="1079"/>
      <c r="IV125" s="466"/>
    </row>
    <row r="126" spans="1:256" s="465" customFormat="1" ht="12.75" customHeight="1">
      <c r="A126" s="1080" t="s">
        <v>771</v>
      </c>
      <c r="B126" s="1080"/>
      <c r="C126" s="1080"/>
      <c r="D126" s="494"/>
      <c r="E126" s="494"/>
      <c r="F126" s="495"/>
      <c r="G126" s="885">
        <v>4716.63</v>
      </c>
      <c r="H126" s="885"/>
      <c r="IV126" s="466"/>
    </row>
    <row r="127" spans="1:256" s="465" customFormat="1" ht="26.25" customHeight="1">
      <c r="A127" s="1080" t="s">
        <v>772</v>
      </c>
      <c r="B127" s="1080"/>
      <c r="C127" s="1080"/>
      <c r="D127" s="494"/>
      <c r="E127" s="494"/>
      <c r="F127" s="495"/>
      <c r="G127" s="885"/>
      <c r="H127" s="885"/>
      <c r="IV127" s="466"/>
    </row>
    <row r="128" spans="1:256" s="465" customFormat="1" ht="26.25" customHeight="1">
      <c r="A128" s="1080" t="s">
        <v>773</v>
      </c>
      <c r="B128" s="1080"/>
      <c r="C128" s="1080"/>
      <c r="D128" s="1080"/>
      <c r="E128" s="494"/>
      <c r="F128" s="495"/>
      <c r="G128" s="885"/>
      <c r="H128" s="885"/>
      <c r="IV128" s="466"/>
    </row>
    <row r="129" spans="1:256" s="465" customFormat="1" ht="26.25" customHeight="1">
      <c r="A129" s="1081" t="s">
        <v>774</v>
      </c>
      <c r="B129" s="1081"/>
      <c r="C129" s="1081"/>
      <c r="D129" s="1081"/>
      <c r="E129" s="1081"/>
      <c r="F129" s="1081"/>
      <c r="G129" s="885">
        <v>0</v>
      </c>
      <c r="H129" s="885"/>
      <c r="IV129" s="466"/>
    </row>
    <row r="130" spans="1:256" s="411" customFormat="1" ht="15.75" customHeight="1">
      <c r="A130" s="1082" t="s">
        <v>775</v>
      </c>
      <c r="B130" s="1082"/>
      <c r="C130" s="1082"/>
      <c r="D130" s="1082"/>
      <c r="E130" s="1082"/>
      <c r="F130" s="1082"/>
      <c r="G130" s="1083">
        <f>SUM(G123:G129)</f>
        <v>2856081.29</v>
      </c>
      <c r="H130" s="1083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776</v>
      </c>
      <c r="B131" s="473"/>
      <c r="C131" s="473"/>
      <c r="D131" s="473"/>
      <c r="E131" s="473"/>
      <c r="F131" s="474"/>
      <c r="G131" s="1084">
        <f>IF($A$7=$IV$12,(F105+F112+H105+H112-G130),(F105+F112-G130))</f>
        <v>1586013.7999999998</v>
      </c>
      <c r="H131" s="1084"/>
      <c r="I131" s="430"/>
      <c r="J131" s="430"/>
      <c r="K131" s="430"/>
      <c r="L131" s="430"/>
      <c r="IV131" s="412"/>
    </row>
    <row r="132" spans="1:256" s="497" customFormat="1" ht="16.5" customHeight="1">
      <c r="A132" s="1085" t="s">
        <v>777</v>
      </c>
      <c r="B132" s="1085"/>
      <c r="C132" s="1085"/>
      <c r="D132" s="1085"/>
      <c r="E132" s="1085"/>
      <c r="F132" s="1085"/>
      <c r="G132" s="1086">
        <f>IF(IV14=1,"Erro planilha INFORMAÇÕES INICIAIS!",IF(IV119=0,"VERIFIQUE ERRO ACIMA!",IF(F39="",0,IF(F39=0,0,(G131/F39)))))</f>
        <v>0.2555941893716132</v>
      </c>
      <c r="H132" s="1086"/>
      <c r="I132" s="493"/>
      <c r="J132" s="493"/>
      <c r="K132" s="493"/>
      <c r="L132" s="496"/>
      <c r="IV132" s="498"/>
    </row>
    <row r="133" spans="1:256" s="411" customFormat="1" ht="12.75" customHeight="1">
      <c r="A133" s="1087" t="s">
        <v>778</v>
      </c>
      <c r="B133" s="1087"/>
      <c r="C133" s="1087"/>
      <c r="D133" s="1087"/>
      <c r="E133" s="1087"/>
      <c r="F133" s="1087"/>
      <c r="G133" s="1087"/>
      <c r="H133" s="1087"/>
      <c r="I133" s="443"/>
      <c r="J133" s="443"/>
      <c r="K133" s="443"/>
      <c r="L133" s="430"/>
      <c r="IV133" s="412"/>
    </row>
    <row r="134" spans="1:256" s="411" customFormat="1" ht="44.25" customHeight="1">
      <c r="A134" s="1066" t="s">
        <v>779</v>
      </c>
      <c r="B134" s="1076" t="s">
        <v>123</v>
      </c>
      <c r="C134" s="1076" t="s">
        <v>124</v>
      </c>
      <c r="D134" s="1056" t="s">
        <v>125</v>
      </c>
      <c r="E134" s="1056"/>
      <c r="F134" s="1042" t="s">
        <v>126</v>
      </c>
      <c r="G134" s="1042"/>
      <c r="H134" s="1057" t="s">
        <v>726</v>
      </c>
      <c r="I134" s="444"/>
      <c r="J134" s="445"/>
      <c r="K134" s="446"/>
      <c r="L134" s="430"/>
      <c r="IV134" s="412"/>
    </row>
    <row r="135" spans="1:256" s="411" customFormat="1" ht="12.75" customHeight="1">
      <c r="A135" s="1066"/>
      <c r="B135" s="1076"/>
      <c r="C135" s="1076"/>
      <c r="D135" s="419" t="s">
        <v>38</v>
      </c>
      <c r="E135" s="420" t="s">
        <v>37</v>
      </c>
      <c r="F135" s="419" t="s">
        <v>38</v>
      </c>
      <c r="G135" s="420" t="s">
        <v>37</v>
      </c>
      <c r="H135" s="1057"/>
      <c r="I135" s="446"/>
      <c r="J135" s="446"/>
      <c r="K135" s="430"/>
      <c r="L135" s="430"/>
      <c r="IV135" s="412"/>
    </row>
    <row r="136" spans="1:256" s="411" customFormat="1" ht="12.75" customHeight="1">
      <c r="A136" s="1066"/>
      <c r="B136" s="1076"/>
      <c r="C136" s="423" t="s">
        <v>130</v>
      </c>
      <c r="D136" s="423" t="s">
        <v>131</v>
      </c>
      <c r="E136" s="424" t="s">
        <v>727</v>
      </c>
      <c r="F136" s="423" t="s">
        <v>649</v>
      </c>
      <c r="G136" s="424" t="s">
        <v>728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780</v>
      </c>
      <c r="B137" s="499"/>
      <c r="C137" s="58"/>
      <c r="D137" s="499"/>
      <c r="E137" s="59">
        <f aca="true" t="shared" si="8" ref="E137:E142">IF($C137="",0,IF($C137=0,0,D137/$C137))</f>
        <v>0</v>
      </c>
      <c r="F137" s="500"/>
      <c r="G137" s="59">
        <f aca="true" t="shared" si="9" ref="G137:G142">IF($C137="",0,IF($C137=0,0,F137/$C137))</f>
        <v>0</v>
      </c>
      <c r="H137" s="501"/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781</v>
      </c>
      <c r="B138" s="165"/>
      <c r="C138" s="98"/>
      <c r="D138" s="98"/>
      <c r="E138" s="51">
        <f t="shared" si="8"/>
        <v>0</v>
      </c>
      <c r="F138" s="486"/>
      <c r="G138" s="51">
        <f t="shared" si="9"/>
        <v>0</v>
      </c>
      <c r="H138" s="99"/>
      <c r="IV138" s="412"/>
    </row>
    <row r="139" spans="1:256" s="411" customFormat="1" ht="12.75" customHeight="1">
      <c r="A139" s="502" t="s">
        <v>782</v>
      </c>
      <c r="B139" s="99"/>
      <c r="C139" s="99"/>
      <c r="D139" s="99"/>
      <c r="E139" s="51">
        <f t="shared" si="8"/>
        <v>0</v>
      </c>
      <c r="F139" s="486"/>
      <c r="G139" s="51">
        <f t="shared" si="9"/>
        <v>0</v>
      </c>
      <c r="H139" s="99"/>
      <c r="IV139" s="412"/>
    </row>
    <row r="140" spans="1:256" s="411" customFormat="1" ht="12.75" customHeight="1">
      <c r="A140" s="503" t="s">
        <v>783</v>
      </c>
      <c r="B140" s="165"/>
      <c r="C140" s="98"/>
      <c r="D140" s="98"/>
      <c r="E140" s="51">
        <f t="shared" si="8"/>
        <v>0</v>
      </c>
      <c r="F140" s="486"/>
      <c r="G140" s="51">
        <f t="shared" si="9"/>
        <v>0</v>
      </c>
      <c r="H140" s="256"/>
      <c r="IV140" s="412"/>
    </row>
    <row r="141" spans="1:256" s="411" customFormat="1" ht="25.5" customHeight="1">
      <c r="A141" s="503" t="s">
        <v>784</v>
      </c>
      <c r="B141" s="504">
        <f>SUM(B137:B140)</f>
        <v>0</v>
      </c>
      <c r="C141" s="504">
        <f>SUM(C137:C140)</f>
        <v>0</v>
      </c>
      <c r="D141" s="504">
        <f>SUM(D137:D140)</f>
        <v>0</v>
      </c>
      <c r="E141" s="505">
        <f t="shared" si="8"/>
        <v>0</v>
      </c>
      <c r="F141" s="504">
        <f>SUM(F137:F140)</f>
        <v>0</v>
      </c>
      <c r="G141" s="505">
        <f t="shared" si="9"/>
        <v>0</v>
      </c>
      <c r="H141" s="506">
        <f>SUM(H137:H140)</f>
        <v>0</v>
      </c>
      <c r="IV141" s="412"/>
    </row>
    <row r="142" spans="1:256" s="411" customFormat="1" ht="12.75" customHeight="1">
      <c r="A142" s="503" t="s">
        <v>785</v>
      </c>
      <c r="B142" s="507">
        <f>B119+B141</f>
        <v>10947000</v>
      </c>
      <c r="C142" s="507">
        <f>C119+C141</f>
        <v>10947000</v>
      </c>
      <c r="D142" s="507">
        <f>D119+D141</f>
        <v>6395700.2</v>
      </c>
      <c r="E142" s="51">
        <f t="shared" si="8"/>
        <v>0.5842422764227643</v>
      </c>
      <c r="F142" s="507">
        <f>F119+F141</f>
        <v>4600822.2299999995</v>
      </c>
      <c r="G142" s="51">
        <f t="shared" si="9"/>
        <v>0.4202815593313236</v>
      </c>
      <c r="H142" s="508">
        <f>H119+H141</f>
        <v>1794878.0699999998</v>
      </c>
      <c r="IV142" s="412"/>
    </row>
    <row r="143" spans="1:256" s="411" customFormat="1" ht="12.75" customHeight="1">
      <c r="A143" s="1066" t="s">
        <v>786</v>
      </c>
      <c r="B143" s="1066"/>
      <c r="C143" s="1042" t="s">
        <v>787</v>
      </c>
      <c r="D143" s="1042"/>
      <c r="E143" s="1042"/>
      <c r="F143" s="1088" t="s">
        <v>788</v>
      </c>
      <c r="G143" s="1088"/>
      <c r="H143" s="1088"/>
      <c r="IV143" s="412"/>
    </row>
    <row r="144" spans="1:256" s="411" customFormat="1" ht="12.75" customHeight="1">
      <c r="A144" s="1066"/>
      <c r="B144" s="1066"/>
      <c r="C144" s="1042"/>
      <c r="D144" s="1042"/>
      <c r="E144" s="1042"/>
      <c r="F144" s="1088"/>
      <c r="G144" s="1088"/>
      <c r="H144" s="1088"/>
      <c r="IV144" s="412"/>
    </row>
    <row r="145" spans="1:256" s="411" customFormat="1" ht="12.75" customHeight="1">
      <c r="A145" s="1066"/>
      <c r="B145" s="1066"/>
      <c r="C145" s="1042"/>
      <c r="D145" s="1042"/>
      <c r="E145" s="1042"/>
      <c r="F145" s="1088"/>
      <c r="G145" s="1088"/>
      <c r="H145" s="1088"/>
      <c r="IV145" s="412"/>
    </row>
    <row r="146" spans="1:256" s="411" customFormat="1" ht="12.75" customHeight="1">
      <c r="A146" s="1089" t="s">
        <v>789</v>
      </c>
      <c r="B146" s="1089"/>
      <c r="C146" s="956">
        <f>SUM(C147:E148)</f>
        <v>0</v>
      </c>
      <c r="D146" s="956"/>
      <c r="E146" s="956"/>
      <c r="F146" s="1067">
        <f>SUM(F147:H148)</f>
        <v>0</v>
      </c>
      <c r="G146" s="1067"/>
      <c r="H146" s="1067"/>
      <c r="IV146" s="412"/>
    </row>
    <row r="147" spans="1:256" s="411" customFormat="1" ht="12.75" customHeight="1">
      <c r="A147" s="1090" t="s">
        <v>790</v>
      </c>
      <c r="B147" s="1090"/>
      <c r="C147" s="882"/>
      <c r="D147" s="882"/>
      <c r="E147" s="882"/>
      <c r="F147" s="1091"/>
      <c r="G147" s="1091"/>
      <c r="H147" s="1091"/>
      <c r="IV147" s="412"/>
    </row>
    <row r="148" spans="1:256" s="411" customFormat="1" ht="12.75" customHeight="1">
      <c r="A148" s="1092" t="s">
        <v>791</v>
      </c>
      <c r="B148" s="1092"/>
      <c r="C148" s="908"/>
      <c r="D148" s="908"/>
      <c r="E148" s="908"/>
      <c r="F148" s="1074"/>
      <c r="G148" s="1074"/>
      <c r="H148" s="1074"/>
      <c r="IV148" s="412"/>
    </row>
    <row r="149" spans="1:256" s="411" customFormat="1" ht="12.75" customHeight="1">
      <c r="A149" s="1093" t="s">
        <v>792</v>
      </c>
      <c r="B149" s="1093"/>
      <c r="C149" s="1042" t="s">
        <v>708</v>
      </c>
      <c r="D149" s="1042"/>
      <c r="E149" s="1042"/>
      <c r="F149" s="1056" t="s">
        <v>793</v>
      </c>
      <c r="G149" s="1056"/>
      <c r="H149" s="1056"/>
      <c r="IV149" s="412"/>
    </row>
    <row r="150" spans="1:256" s="411" customFormat="1" ht="25.5" customHeight="1">
      <c r="A150" s="1093"/>
      <c r="B150" s="1093"/>
      <c r="C150" s="1042"/>
      <c r="D150" s="1042"/>
      <c r="E150" s="1042"/>
      <c r="F150" s="1056"/>
      <c r="G150" s="1056"/>
      <c r="H150" s="1056"/>
      <c r="IV150" s="412"/>
    </row>
    <row r="151" spans="1:256" s="411" customFormat="1" ht="15" customHeight="1">
      <c r="A151" s="1094" t="s">
        <v>794</v>
      </c>
      <c r="B151" s="1094"/>
      <c r="C151" s="1095"/>
      <c r="D151" s="1095"/>
      <c r="E151" s="1095"/>
      <c r="F151" s="1096"/>
      <c r="G151" s="1096"/>
      <c r="H151" s="1096"/>
      <c r="IV151" s="412"/>
    </row>
    <row r="152" spans="1:256" s="411" customFormat="1" ht="12.75" customHeight="1">
      <c r="A152" s="1097" t="s">
        <v>795</v>
      </c>
      <c r="B152" s="1097"/>
      <c r="C152" s="1098">
        <v>4221265.25</v>
      </c>
      <c r="D152" s="1098"/>
      <c r="E152" s="1098"/>
      <c r="F152" s="1099"/>
      <c r="G152" s="1099"/>
      <c r="H152" s="1099"/>
      <c r="IV152" s="412"/>
    </row>
    <row r="153" spans="1:256" s="411" customFormat="1" ht="12.75" customHeight="1">
      <c r="A153" s="1097" t="s">
        <v>796</v>
      </c>
      <c r="B153" s="1097"/>
      <c r="C153" s="1100">
        <f>+C154+C155</f>
        <v>4132027.28</v>
      </c>
      <c r="D153" s="1100"/>
      <c r="E153" s="1100"/>
      <c r="F153" s="1101">
        <f>+F154+F155</f>
        <v>0</v>
      </c>
      <c r="G153" s="1101"/>
      <c r="H153" s="1101"/>
      <c r="IV153" s="412"/>
    </row>
    <row r="154" spans="1:256" s="411" customFormat="1" ht="12.75" customHeight="1">
      <c r="A154" s="1097" t="s">
        <v>797</v>
      </c>
      <c r="B154" s="1097"/>
      <c r="C154" s="1102">
        <v>4132027.28</v>
      </c>
      <c r="D154" s="1102"/>
      <c r="E154" s="1102"/>
      <c r="F154" s="1103"/>
      <c r="G154" s="1103"/>
      <c r="H154" s="1103"/>
      <c r="IV154" s="412"/>
    </row>
    <row r="155" spans="1:256" s="411" customFormat="1" ht="12.75" customHeight="1">
      <c r="A155" s="1097" t="s">
        <v>798</v>
      </c>
      <c r="B155" s="1097"/>
      <c r="C155" s="1098"/>
      <c r="D155" s="1098"/>
      <c r="E155" s="1098"/>
      <c r="F155" s="1099"/>
      <c r="G155" s="1099"/>
      <c r="H155" s="1099"/>
      <c r="IV155" s="412"/>
    </row>
    <row r="156" spans="1:256" s="411" customFormat="1" ht="12.75" customHeight="1">
      <c r="A156" s="1104" t="s">
        <v>799</v>
      </c>
      <c r="B156" s="1104"/>
      <c r="C156" s="1105">
        <v>4716.63</v>
      </c>
      <c r="D156" s="1105"/>
      <c r="E156" s="1105"/>
      <c r="F156" s="1099"/>
      <c r="G156" s="1099"/>
      <c r="H156" s="1099"/>
      <c r="IV156" s="412"/>
    </row>
    <row r="157" spans="1:256" s="411" customFormat="1" ht="12.75" customHeight="1">
      <c r="A157" s="1104" t="s">
        <v>800</v>
      </c>
      <c r="B157" s="1104"/>
      <c r="C157" s="1100">
        <f>+C151+C152-ABS(C153)+C156</f>
        <v>93954.60000000021</v>
      </c>
      <c r="D157" s="1100"/>
      <c r="E157" s="1100"/>
      <c r="F157" s="1101">
        <f>+F151+F152-ABS(F153)+F156</f>
        <v>0</v>
      </c>
      <c r="G157" s="1101"/>
      <c r="H157" s="1101"/>
      <c r="IV157" s="412"/>
    </row>
    <row r="158" spans="1:256" s="411" customFormat="1" ht="12.75" customHeight="1">
      <c r="A158" s="1104" t="s">
        <v>801</v>
      </c>
      <c r="B158" s="1104"/>
      <c r="C158" s="1100">
        <f>+C159+C160</f>
        <v>0</v>
      </c>
      <c r="D158" s="1100"/>
      <c r="E158" s="1100"/>
      <c r="F158" s="1101">
        <f>+F159+F160</f>
        <v>0</v>
      </c>
      <c r="G158" s="1101"/>
      <c r="H158" s="1101"/>
      <c r="IV158" s="412"/>
    </row>
    <row r="159" spans="1:256" s="411" customFormat="1" ht="12.75" customHeight="1">
      <c r="A159" s="1104" t="s">
        <v>802</v>
      </c>
      <c r="B159" s="1104"/>
      <c r="C159" s="1105"/>
      <c r="D159" s="1105"/>
      <c r="E159" s="1105"/>
      <c r="F159" s="1099"/>
      <c r="G159" s="1099"/>
      <c r="H159" s="1099"/>
      <c r="IV159" s="412"/>
    </row>
    <row r="160" spans="1:256" s="411" customFormat="1" ht="12.75" customHeight="1">
      <c r="A160" s="1104" t="s">
        <v>803</v>
      </c>
      <c r="B160" s="1104"/>
      <c r="C160" s="1105"/>
      <c r="D160" s="1105"/>
      <c r="E160" s="1105"/>
      <c r="F160" s="1099"/>
      <c r="G160" s="1099"/>
      <c r="H160" s="1099"/>
      <c r="IV160" s="412"/>
    </row>
    <row r="161" spans="1:256" s="411" customFormat="1" ht="12.75" customHeight="1">
      <c r="A161" s="1106" t="s">
        <v>804</v>
      </c>
      <c r="B161" s="1106"/>
      <c r="C161" s="1107">
        <f>+C157+C158</f>
        <v>93954.60000000021</v>
      </c>
      <c r="D161" s="1107"/>
      <c r="E161" s="1107"/>
      <c r="F161" s="1108">
        <f>+F157+F158</f>
        <v>0</v>
      </c>
      <c r="G161" s="1108"/>
      <c r="H161" s="1108"/>
      <c r="IV161" s="412"/>
    </row>
    <row r="162" spans="1:256" s="411" customFormat="1" ht="12.75" customHeight="1">
      <c r="A162" s="1109" t="s">
        <v>658</v>
      </c>
      <c r="B162" s="1109"/>
      <c r="C162" s="1109"/>
      <c r="D162" s="1109"/>
      <c r="E162" s="1109"/>
      <c r="F162" s="1109"/>
      <c r="G162" s="1109"/>
      <c r="H162" s="1109"/>
      <c r="IV162" s="412"/>
    </row>
    <row r="163" spans="1:256" s="411" customFormat="1" ht="12.75" customHeight="1">
      <c r="A163" s="1110" t="s">
        <v>805</v>
      </c>
      <c r="B163" s="1110"/>
      <c r="C163" s="1110"/>
      <c r="D163" s="1110"/>
      <c r="E163" s="1110"/>
      <c r="F163" s="1110"/>
      <c r="G163" s="1110"/>
      <c r="H163" s="1110"/>
      <c r="IV163" s="412"/>
    </row>
    <row r="164" spans="1:256" s="411" customFormat="1" ht="24.75" customHeight="1">
      <c r="A164" s="1111" t="s">
        <v>806</v>
      </c>
      <c r="B164" s="1111"/>
      <c r="C164" s="1111"/>
      <c r="D164" s="1111"/>
      <c r="E164" s="1111"/>
      <c r="F164" s="1111"/>
      <c r="G164" s="1111"/>
      <c r="H164" s="1111"/>
      <c r="IV164" s="412"/>
    </row>
    <row r="165" spans="1:256" s="411" customFormat="1" ht="12.75" customHeight="1">
      <c r="A165" s="1110" t="s">
        <v>807</v>
      </c>
      <c r="B165" s="1110"/>
      <c r="C165" s="1110"/>
      <c r="D165" s="1110"/>
      <c r="E165" s="1110"/>
      <c r="F165" s="1110"/>
      <c r="G165" s="1110"/>
      <c r="H165" s="1110"/>
      <c r="IV165" s="412"/>
    </row>
    <row r="166" spans="1:256" s="411" customFormat="1" ht="12.75" customHeight="1">
      <c r="A166" s="1111" t="s">
        <v>808</v>
      </c>
      <c r="B166" s="1111"/>
      <c r="C166" s="1111"/>
      <c r="D166" s="1111"/>
      <c r="E166" s="1111"/>
      <c r="F166" s="1111"/>
      <c r="G166" s="1111"/>
      <c r="H166" s="1111"/>
      <c r="IV166" s="412"/>
    </row>
    <row r="167" spans="1:256" s="411" customFormat="1" ht="12.75" customHeight="1">
      <c r="A167" s="1110" t="s">
        <v>809</v>
      </c>
      <c r="B167" s="1110"/>
      <c r="C167" s="1110"/>
      <c r="D167" s="1110"/>
      <c r="E167" s="1110"/>
      <c r="F167" s="1110"/>
      <c r="G167" s="1110"/>
      <c r="H167" s="1110"/>
      <c r="IV167" s="412"/>
    </row>
    <row r="168" spans="1:8" ht="15" customHeight="1">
      <c r="A168" s="1112" t="s">
        <v>810</v>
      </c>
      <c r="B168" s="1112"/>
      <c r="C168" s="1112"/>
      <c r="D168" s="1112"/>
      <c r="E168" s="1112"/>
      <c r="F168" s="1112"/>
      <c r="G168" s="1112"/>
      <c r="H168" s="1112"/>
    </row>
    <row r="169" spans="1:8" ht="16.5" customHeight="1">
      <c r="A169" s="1112" t="s">
        <v>811</v>
      </c>
      <c r="B169" s="1112"/>
      <c r="C169" s="1112"/>
      <c r="D169" s="1112"/>
      <c r="E169" s="1112"/>
      <c r="F169" s="1112"/>
      <c r="G169" s="1112"/>
      <c r="H169" s="1112"/>
    </row>
  </sheetData>
  <sheetProtection password="F3F6" sheet="1"/>
  <mergeCells count="310"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Coriolano Coelho Carvalho</cp:lastModifiedBy>
  <dcterms:created xsi:type="dcterms:W3CDTF">2004-08-09T19:29:24Z</dcterms:created>
  <dcterms:modified xsi:type="dcterms:W3CDTF">2018-07-26T12:49:49Z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